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alyssamwong\Downloads\"/>
    </mc:Choice>
  </mc:AlternateContent>
  <xr:revisionPtr revIDLastSave="0" documentId="13_ncr:1_{F3A6168A-7E1A-4BDC-9BB7-F05789C5539F}" xr6:coauthVersionLast="47" xr6:coauthVersionMax="47" xr10:uidLastSave="{00000000-0000-0000-0000-000000000000}"/>
  <bookViews>
    <workbookView xWindow="28680" yWindow="-120" windowWidth="29040" windowHeight="15840" firstSheet="2" activeTab="7" xr2:uid="{00000000-000D-0000-FFFF-FFFF00000000}"/>
  </bookViews>
  <sheets>
    <sheet name="HCaTS Instructions" sheetId="1" r:id="rId1"/>
    <sheet name="Unrestricted Pool 1" sheetId="2" r:id="rId2"/>
    <sheet name="Unrestricted Pool 2" sheetId="3" r:id="rId3"/>
    <sheet name="Small Business Pool 1" sheetId="4" r:id="rId4"/>
    <sheet name="Small Business Pool 2" sheetId="5" r:id="rId5"/>
    <sheet name="8(a) Pool 1" sheetId="6" r:id="rId6"/>
    <sheet name="8(a) Pool 2" sheetId="7" r:id="rId7"/>
    <sheet name="Inactive HCaTS Contracts" sheetId="8"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4" i="8" l="1"/>
  <c r="F34" i="8"/>
  <c r="E34" i="8"/>
  <c r="D34" i="8"/>
  <c r="C34" i="8"/>
  <c r="B34" i="8"/>
  <c r="A34" i="8"/>
  <c r="G33" i="8"/>
  <c r="F33" i="8"/>
  <c r="E33" i="8"/>
  <c r="D33" i="8"/>
  <c r="C33" i="8"/>
  <c r="B33" i="8"/>
  <c r="A33" i="8"/>
  <c r="E32" i="8"/>
  <c r="D32" i="8"/>
  <c r="C32" i="8"/>
  <c r="B32" i="8"/>
  <c r="A32" i="8"/>
  <c r="E31" i="8"/>
  <c r="D31" i="8"/>
  <c r="C31" i="8"/>
  <c r="B31" i="8"/>
  <c r="A31" i="8"/>
  <c r="G30" i="8"/>
  <c r="F30" i="8"/>
  <c r="E30" i="8"/>
  <c r="D30" i="8"/>
  <c r="C30" i="8"/>
  <c r="B30" i="8"/>
  <c r="A30" i="8"/>
  <c r="G29" i="8"/>
  <c r="F29" i="8"/>
  <c r="E29" i="8"/>
  <c r="D29" i="8"/>
  <c r="C29" i="8"/>
  <c r="B29" i="8"/>
  <c r="A29" i="8"/>
  <c r="G28" i="8"/>
  <c r="F28" i="8"/>
  <c r="E28" i="8"/>
  <c r="D28" i="8"/>
  <c r="C28" i="8"/>
  <c r="B28" i="8"/>
  <c r="A28" i="8"/>
  <c r="G27" i="8"/>
  <c r="F27" i="8"/>
  <c r="E27" i="8"/>
  <c r="D27" i="8"/>
  <c r="C27" i="8"/>
  <c r="B27" i="8"/>
  <c r="A27" i="8"/>
  <c r="G26" i="8"/>
  <c r="F26" i="8"/>
  <c r="E26" i="8"/>
  <c r="D26" i="8"/>
  <c r="C26" i="8"/>
  <c r="B26" i="8"/>
  <c r="A26" i="8"/>
  <c r="G25" i="8"/>
  <c r="F25" i="8"/>
  <c r="E25" i="8"/>
  <c r="D25" i="8"/>
  <c r="C25" i="8"/>
  <c r="B25" i="8"/>
  <c r="A25" i="8"/>
  <c r="G24" i="8"/>
  <c r="F24" i="8"/>
  <c r="E24" i="8"/>
  <c r="D24" i="8"/>
  <c r="C24" i="8"/>
  <c r="B24" i="8"/>
  <c r="A24" i="8"/>
  <c r="G23" i="8"/>
  <c r="F23" i="8"/>
  <c r="E23" i="8"/>
  <c r="D23" i="8"/>
  <c r="C23" i="8"/>
  <c r="B23" i="8"/>
  <c r="A23" i="8"/>
  <c r="G22" i="8"/>
  <c r="F22" i="8"/>
  <c r="E22" i="8"/>
  <c r="D22" i="8"/>
  <c r="C22" i="8"/>
  <c r="B22" i="8"/>
  <c r="A22" i="8"/>
  <c r="G21" i="8"/>
  <c r="F21" i="8"/>
  <c r="E21" i="8"/>
  <c r="D21" i="8"/>
  <c r="C21" i="8"/>
  <c r="B21" i="8"/>
  <c r="A21" i="8"/>
  <c r="G20" i="8"/>
  <c r="F20" i="8"/>
  <c r="E20" i="8"/>
  <c r="D20" i="8"/>
  <c r="C20" i="8"/>
  <c r="B20" i="8"/>
  <c r="A20" i="8"/>
  <c r="G19" i="8"/>
  <c r="F19" i="8"/>
  <c r="E19" i="8"/>
  <c r="D19" i="8"/>
  <c r="C19" i="8"/>
  <c r="B19" i="8"/>
  <c r="A19" i="8"/>
  <c r="G18" i="8"/>
  <c r="F18" i="8"/>
  <c r="E18" i="8"/>
  <c r="D18" i="8"/>
  <c r="C18" i="8"/>
  <c r="B18" i="8"/>
  <c r="A18" i="8"/>
  <c r="G17" i="8"/>
  <c r="F17" i="8"/>
  <c r="E17" i="8"/>
  <c r="D17" i="8"/>
  <c r="C17" i="8"/>
  <c r="B17" i="8"/>
  <c r="A17" i="8"/>
  <c r="G16" i="8"/>
  <c r="F16" i="8"/>
  <c r="E16" i="8"/>
  <c r="D16" i="8"/>
  <c r="C16" i="8"/>
  <c r="B16" i="8"/>
  <c r="A16" i="8"/>
  <c r="G15" i="8"/>
  <c r="F15" i="8"/>
  <c r="E15" i="8"/>
  <c r="D15" i="8"/>
  <c r="C15" i="8"/>
  <c r="B15" i="8"/>
  <c r="A15" i="8"/>
  <c r="G14" i="8"/>
  <c r="F14" i="8"/>
  <c r="E14" i="8"/>
  <c r="D14" i="8"/>
  <c r="C14" i="8"/>
  <c r="B14" i="8"/>
  <c r="A14" i="8"/>
  <c r="G13" i="8"/>
  <c r="F13" i="8"/>
  <c r="E13" i="8"/>
  <c r="D13" i="8"/>
  <c r="C13" i="8"/>
  <c r="B13" i="8"/>
  <c r="A13" i="8"/>
  <c r="G12" i="8"/>
  <c r="F12" i="8"/>
  <c r="E12" i="8"/>
  <c r="D12" i="8"/>
  <c r="C12" i="8"/>
  <c r="B12" i="8"/>
  <c r="A12" i="8"/>
  <c r="G11" i="8"/>
  <c r="F11" i="8"/>
  <c r="E11" i="8"/>
  <c r="D11" i="8"/>
  <c r="C11" i="8"/>
  <c r="B11" i="8"/>
  <c r="A11" i="8"/>
  <c r="G10" i="8"/>
  <c r="F10" i="8"/>
  <c r="E10" i="8"/>
  <c r="D10" i="8"/>
  <c r="C10" i="8"/>
  <c r="B10" i="8"/>
  <c r="A10" i="8"/>
  <c r="G9" i="8"/>
  <c r="F9" i="8"/>
  <c r="E9" i="8"/>
  <c r="D9" i="8"/>
  <c r="C9" i="8"/>
  <c r="B9" i="8"/>
  <c r="A9" i="8"/>
  <c r="G8" i="8"/>
  <c r="F8" i="8"/>
  <c r="E8" i="8"/>
  <c r="D8" i="8"/>
  <c r="C8" i="8"/>
  <c r="B8" i="8"/>
  <c r="A8" i="8"/>
  <c r="G7" i="8"/>
  <c r="F7" i="8"/>
  <c r="E7" i="8"/>
  <c r="D7" i="8"/>
  <c r="C7" i="8"/>
  <c r="B7" i="8"/>
  <c r="A7" i="8"/>
  <c r="G6" i="8"/>
  <c r="F6" i="8"/>
  <c r="E6" i="8"/>
  <c r="D6" i="8"/>
  <c r="C6" i="8"/>
  <c r="B6" i="8"/>
  <c r="A6" i="8"/>
  <c r="G5" i="8"/>
  <c r="F5" i="8"/>
  <c r="E5" i="8"/>
  <c r="D5" i="8"/>
  <c r="C5" i="8"/>
  <c r="B5" i="8"/>
  <c r="A5" i="8"/>
  <c r="G4" i="8"/>
  <c r="F4" i="8"/>
  <c r="E4" i="8"/>
  <c r="D4" i="8"/>
  <c r="C4" i="8"/>
  <c r="B4" i="8"/>
  <c r="A4" i="8"/>
  <c r="G3" i="8"/>
  <c r="F3" i="8"/>
  <c r="E3" i="8"/>
  <c r="D3" i="8"/>
  <c r="C3" i="8"/>
  <c r="B3" i="8"/>
  <c r="A3" i="8"/>
  <c r="E29" i="7"/>
  <c r="D29" i="7"/>
  <c r="C29" i="7"/>
  <c r="B29" i="7"/>
  <c r="A29" i="7"/>
  <c r="E28" i="7"/>
  <c r="D28" i="7"/>
  <c r="C28" i="7"/>
  <c r="B28" i="7"/>
  <c r="A28" i="7"/>
  <c r="E27" i="7"/>
  <c r="D27" i="7"/>
  <c r="C27" i="7"/>
  <c r="B27" i="7"/>
  <c r="A27" i="7"/>
  <c r="E26" i="7"/>
  <c r="D26" i="7"/>
  <c r="C26" i="7"/>
  <c r="B26" i="7"/>
  <c r="A26" i="7"/>
  <c r="E25" i="7"/>
  <c r="D25" i="7"/>
  <c r="C25" i="7"/>
  <c r="B25" i="7"/>
  <c r="A25" i="7"/>
  <c r="E24" i="7"/>
  <c r="D24" i="7"/>
  <c r="C24" i="7"/>
  <c r="B24" i="7"/>
  <c r="A24" i="7"/>
  <c r="E23" i="7"/>
  <c r="D23" i="7"/>
  <c r="C23" i="7"/>
  <c r="B23" i="7"/>
  <c r="A23" i="7"/>
  <c r="E22" i="7"/>
  <c r="D22" i="7"/>
  <c r="C22" i="7"/>
  <c r="B22" i="7"/>
  <c r="A22" i="7"/>
  <c r="E21" i="7"/>
  <c r="D21" i="7"/>
  <c r="C21" i="7"/>
  <c r="B21" i="7"/>
  <c r="A21" i="7"/>
  <c r="E20" i="7"/>
  <c r="D20" i="7"/>
  <c r="C20" i="7"/>
  <c r="B20" i="7"/>
  <c r="A20" i="7"/>
  <c r="E19" i="7"/>
  <c r="D19" i="7"/>
  <c r="C19" i="7"/>
  <c r="B19" i="7"/>
  <c r="A19" i="7"/>
  <c r="E18" i="7"/>
  <c r="D18" i="7"/>
  <c r="C18" i="7"/>
  <c r="B18" i="7"/>
  <c r="A18" i="7"/>
  <c r="E17" i="7"/>
  <c r="D17" i="7"/>
  <c r="C17" i="7"/>
  <c r="B17" i="7"/>
  <c r="A17" i="7"/>
  <c r="E16" i="7"/>
  <c r="D16" i="7"/>
  <c r="C16" i="7"/>
  <c r="B16" i="7"/>
  <c r="A16" i="7"/>
  <c r="E15" i="7"/>
  <c r="D15" i="7"/>
  <c r="C15" i="7"/>
  <c r="B15" i="7"/>
  <c r="A15" i="7"/>
  <c r="E14" i="7"/>
  <c r="D14" i="7"/>
  <c r="C14" i="7"/>
  <c r="B14" i="7"/>
  <c r="A14" i="7"/>
  <c r="E13" i="7"/>
  <c r="D13" i="7"/>
  <c r="C13" i="7"/>
  <c r="B13" i="7"/>
  <c r="A13" i="7"/>
  <c r="E12" i="7"/>
  <c r="D12" i="7"/>
  <c r="C12" i="7"/>
  <c r="B12" i="7"/>
  <c r="A12" i="7"/>
  <c r="E11" i="7"/>
  <c r="D11" i="7"/>
  <c r="C11" i="7"/>
  <c r="B11" i="7"/>
  <c r="A11" i="7"/>
  <c r="E10" i="7"/>
  <c r="D10" i="7"/>
  <c r="C10" i="7"/>
  <c r="B10" i="7"/>
  <c r="A10" i="7"/>
  <c r="E9" i="7"/>
  <c r="D9" i="7"/>
  <c r="C9" i="7"/>
  <c r="B9" i="7"/>
  <c r="A9" i="7"/>
  <c r="E8" i="7"/>
  <c r="D8" i="7"/>
  <c r="C8" i="7"/>
  <c r="B8" i="7"/>
  <c r="A8" i="7"/>
  <c r="E7" i="7"/>
  <c r="D7" i="7"/>
  <c r="C7" i="7"/>
  <c r="B7" i="7"/>
  <c r="A7" i="7"/>
  <c r="E6" i="7"/>
  <c r="D6" i="7"/>
  <c r="C6" i="7"/>
  <c r="B6" i="7"/>
  <c r="A6" i="7"/>
  <c r="E5" i="7"/>
  <c r="D5" i="7"/>
  <c r="C5" i="7"/>
  <c r="B5" i="7"/>
  <c r="A5" i="7"/>
  <c r="E4" i="7"/>
  <c r="D4" i="7"/>
  <c r="C4" i="7"/>
  <c r="B4" i="7"/>
  <c r="A4" i="7"/>
  <c r="A3" i="7"/>
  <c r="E20" i="6"/>
  <c r="D20" i="6"/>
  <c r="C20" i="6"/>
  <c r="B20" i="6"/>
  <c r="A20" i="6"/>
  <c r="E19" i="6"/>
  <c r="D19" i="6"/>
  <c r="C19" i="6"/>
  <c r="B19" i="6"/>
  <c r="A19" i="6"/>
  <c r="E18" i="6"/>
  <c r="D18" i="6"/>
  <c r="C18" i="6"/>
  <c r="B18" i="6"/>
  <c r="A18" i="6"/>
  <c r="E17" i="6"/>
  <c r="D17" i="6"/>
  <c r="C17" i="6"/>
  <c r="B17" i="6"/>
  <c r="A17" i="6"/>
  <c r="E16" i="6"/>
  <c r="D16" i="6"/>
  <c r="C16" i="6"/>
  <c r="B16" i="6"/>
  <c r="A16" i="6"/>
  <c r="E15" i="6"/>
  <c r="D15" i="6"/>
  <c r="C15" i="6"/>
  <c r="B15" i="6"/>
  <c r="A15" i="6"/>
  <c r="E14" i="6"/>
  <c r="D14" i="6"/>
  <c r="C14" i="6"/>
  <c r="B14" i="6"/>
  <c r="A14" i="6"/>
  <c r="E13" i="6"/>
  <c r="D13" i="6"/>
  <c r="C13" i="6"/>
  <c r="B13" i="6"/>
  <c r="A13" i="6"/>
  <c r="E12" i="6"/>
  <c r="D12" i="6"/>
  <c r="C12" i="6"/>
  <c r="B12" i="6"/>
  <c r="A12" i="6"/>
  <c r="E11" i="6"/>
  <c r="D11" i="6"/>
  <c r="C11" i="6"/>
  <c r="B11" i="6"/>
  <c r="A11" i="6"/>
  <c r="E10" i="6"/>
  <c r="D10" i="6"/>
  <c r="C10" i="6"/>
  <c r="B10" i="6"/>
  <c r="A10" i="6"/>
  <c r="E9" i="6"/>
  <c r="D9" i="6"/>
  <c r="C9" i="6"/>
  <c r="B9" i="6"/>
  <c r="A9" i="6"/>
  <c r="E8" i="6"/>
  <c r="D8" i="6"/>
  <c r="C8" i="6"/>
  <c r="B8" i="6"/>
  <c r="A8" i="6"/>
  <c r="E7" i="6"/>
  <c r="D7" i="6"/>
  <c r="C7" i="6"/>
  <c r="B7" i="6"/>
  <c r="A7" i="6"/>
  <c r="E6" i="6"/>
  <c r="D6" i="6"/>
  <c r="C6" i="6"/>
  <c r="B6" i="6"/>
  <c r="A6" i="6"/>
  <c r="E5" i="6"/>
  <c r="D5" i="6"/>
  <c r="C5" i="6"/>
  <c r="B5" i="6"/>
  <c r="A5" i="6"/>
  <c r="E4" i="6"/>
  <c r="D4" i="6"/>
  <c r="C4" i="6"/>
  <c r="B4" i="6"/>
  <c r="A4" i="6"/>
  <c r="A3" i="6"/>
  <c r="L34" i="5"/>
  <c r="K34" i="5"/>
  <c r="J34" i="5"/>
  <c r="I34" i="5"/>
  <c r="H34" i="5"/>
  <c r="G34" i="5"/>
  <c r="F34" i="5"/>
  <c r="E34" i="5"/>
  <c r="D34" i="5"/>
  <c r="C34" i="5"/>
  <c r="B34" i="5"/>
  <c r="A34" i="5"/>
  <c r="L33" i="5"/>
  <c r="K33" i="5"/>
  <c r="J33" i="5"/>
  <c r="I33" i="5"/>
  <c r="H33" i="5"/>
  <c r="G33" i="5"/>
  <c r="F33" i="5"/>
  <c r="E33" i="5"/>
  <c r="D33" i="5"/>
  <c r="C33" i="5"/>
  <c r="B33" i="5"/>
  <c r="A33" i="5"/>
  <c r="L32" i="5"/>
  <c r="K32" i="5"/>
  <c r="J32" i="5"/>
  <c r="I32" i="5"/>
  <c r="H32" i="5"/>
  <c r="G32" i="5"/>
  <c r="F32" i="5"/>
  <c r="E32" i="5"/>
  <c r="D32" i="5"/>
  <c r="C32" i="5"/>
  <c r="B32" i="5"/>
  <c r="A32" i="5"/>
  <c r="L31" i="5"/>
  <c r="K31" i="5"/>
  <c r="J31" i="5"/>
  <c r="I31" i="5"/>
  <c r="H31" i="5"/>
  <c r="G31" i="5"/>
  <c r="F31" i="5"/>
  <c r="E31" i="5"/>
  <c r="D31" i="5"/>
  <c r="C31" i="5"/>
  <c r="B31" i="5"/>
  <c r="A31" i="5"/>
  <c r="L30" i="5"/>
  <c r="K30" i="5"/>
  <c r="J30" i="5"/>
  <c r="I30" i="5"/>
  <c r="H30" i="5"/>
  <c r="G30" i="5"/>
  <c r="F30" i="5"/>
  <c r="E30" i="5"/>
  <c r="D30" i="5"/>
  <c r="C30" i="5"/>
  <c r="B30" i="5"/>
  <c r="A30" i="5"/>
  <c r="L29" i="5"/>
  <c r="K29" i="5"/>
  <c r="J29" i="5"/>
  <c r="I29" i="5"/>
  <c r="H29" i="5"/>
  <c r="G29" i="5"/>
  <c r="F29" i="5"/>
  <c r="E29" i="5"/>
  <c r="D29" i="5"/>
  <c r="C29" i="5"/>
  <c r="B29" i="5"/>
  <c r="A29" i="5"/>
  <c r="L28" i="5"/>
  <c r="K28" i="5"/>
  <c r="J28" i="5"/>
  <c r="I28" i="5"/>
  <c r="H28" i="5"/>
  <c r="G28" i="5"/>
  <c r="F28" i="5"/>
  <c r="E28" i="5"/>
  <c r="D28" i="5"/>
  <c r="C28" i="5"/>
  <c r="B28" i="5"/>
  <c r="A28" i="5"/>
  <c r="L27" i="5"/>
  <c r="K27" i="5"/>
  <c r="J27" i="5"/>
  <c r="I27" i="5"/>
  <c r="H27" i="5"/>
  <c r="G27" i="5"/>
  <c r="F27" i="5"/>
  <c r="E27" i="5"/>
  <c r="D27" i="5"/>
  <c r="C27" i="5"/>
  <c r="B27" i="5"/>
  <c r="A27" i="5"/>
  <c r="L26" i="5"/>
  <c r="K26" i="5"/>
  <c r="J26" i="5"/>
  <c r="I26" i="5"/>
  <c r="H26" i="5"/>
  <c r="G26" i="5"/>
  <c r="F26" i="5"/>
  <c r="E26" i="5"/>
  <c r="D26" i="5"/>
  <c r="C26" i="5"/>
  <c r="B26" i="5"/>
  <c r="A26" i="5"/>
  <c r="L25" i="5"/>
  <c r="K25" i="5"/>
  <c r="J25" i="5"/>
  <c r="I25" i="5"/>
  <c r="H25" i="5"/>
  <c r="G25" i="5"/>
  <c r="F25" i="5"/>
  <c r="E25" i="5"/>
  <c r="D25" i="5"/>
  <c r="C25" i="5"/>
  <c r="B25" i="5"/>
  <c r="A25" i="5"/>
  <c r="L24" i="5"/>
  <c r="K24" i="5"/>
  <c r="J24" i="5"/>
  <c r="I24" i="5"/>
  <c r="H24" i="5"/>
  <c r="G24" i="5"/>
  <c r="F24" i="5"/>
  <c r="E24" i="5"/>
  <c r="D24" i="5"/>
  <c r="C24" i="5"/>
  <c r="B24" i="5"/>
  <c r="A24" i="5"/>
  <c r="L23" i="5"/>
  <c r="K23" i="5"/>
  <c r="J23" i="5"/>
  <c r="I23" i="5"/>
  <c r="H23" i="5"/>
  <c r="G23" i="5"/>
  <c r="F23" i="5"/>
  <c r="E23" i="5"/>
  <c r="D23" i="5"/>
  <c r="C23" i="5"/>
  <c r="B23" i="5"/>
  <c r="A23" i="5"/>
  <c r="L22" i="5"/>
  <c r="K22" i="5"/>
  <c r="J22" i="5"/>
  <c r="I22" i="5"/>
  <c r="H22" i="5"/>
  <c r="G22" i="5"/>
  <c r="F22" i="5"/>
  <c r="E22" i="5"/>
  <c r="D22" i="5"/>
  <c r="C22" i="5"/>
  <c r="B22" i="5"/>
  <c r="A22" i="5"/>
  <c r="L21" i="5"/>
  <c r="K21" i="5"/>
  <c r="J21" i="5"/>
  <c r="I21" i="5"/>
  <c r="H21" i="5"/>
  <c r="G21" i="5"/>
  <c r="F21" i="5"/>
  <c r="E21" i="5"/>
  <c r="D21" i="5"/>
  <c r="C21" i="5"/>
  <c r="B21" i="5"/>
  <c r="A21" i="5"/>
  <c r="L20" i="5"/>
  <c r="K20" i="5"/>
  <c r="J20" i="5"/>
  <c r="I20" i="5"/>
  <c r="H20" i="5"/>
  <c r="G20" i="5"/>
  <c r="F20" i="5"/>
  <c r="E20" i="5"/>
  <c r="D20" i="5"/>
  <c r="C20" i="5"/>
  <c r="B20" i="5"/>
  <c r="A20" i="5"/>
  <c r="L19" i="5"/>
  <c r="K19" i="5"/>
  <c r="J19" i="5"/>
  <c r="I19" i="5"/>
  <c r="H19" i="5"/>
  <c r="G19" i="5"/>
  <c r="F19" i="5"/>
  <c r="E19" i="5"/>
  <c r="D19" i="5"/>
  <c r="C19" i="5"/>
  <c r="B19" i="5"/>
  <c r="A19" i="5"/>
  <c r="L18" i="5"/>
  <c r="K18" i="5"/>
  <c r="J18" i="5"/>
  <c r="I18" i="5"/>
  <c r="H18" i="5"/>
  <c r="G18" i="5"/>
  <c r="F18" i="5"/>
  <c r="E18" i="5"/>
  <c r="D18" i="5"/>
  <c r="C18" i="5"/>
  <c r="B18" i="5"/>
  <c r="A18" i="5"/>
  <c r="L17" i="5"/>
  <c r="K17" i="5"/>
  <c r="J17" i="5"/>
  <c r="I17" i="5"/>
  <c r="H17" i="5"/>
  <c r="G17" i="5"/>
  <c r="F17" i="5"/>
  <c r="E17" i="5"/>
  <c r="D17" i="5"/>
  <c r="C17" i="5"/>
  <c r="B17" i="5"/>
  <c r="A17" i="5"/>
  <c r="L16" i="5"/>
  <c r="K16" i="5"/>
  <c r="J16" i="5"/>
  <c r="I16" i="5"/>
  <c r="H16" i="5"/>
  <c r="G16" i="5"/>
  <c r="F16" i="5"/>
  <c r="E16" i="5"/>
  <c r="D16" i="5"/>
  <c r="C16" i="5"/>
  <c r="B16" i="5"/>
  <c r="A16" i="5"/>
  <c r="L15" i="5"/>
  <c r="K15" i="5"/>
  <c r="J15" i="5"/>
  <c r="I15" i="5"/>
  <c r="H15" i="5"/>
  <c r="G15" i="5"/>
  <c r="F15" i="5"/>
  <c r="E15" i="5"/>
  <c r="D15" i="5"/>
  <c r="C15" i="5"/>
  <c r="B15" i="5"/>
  <c r="A15" i="5"/>
  <c r="L14" i="5"/>
  <c r="K14" i="5"/>
  <c r="J14" i="5"/>
  <c r="I14" i="5"/>
  <c r="H14" i="5"/>
  <c r="G14" i="5"/>
  <c r="F14" i="5"/>
  <c r="E14" i="5"/>
  <c r="D14" i="5"/>
  <c r="C14" i="5"/>
  <c r="B14" i="5"/>
  <c r="A14" i="5"/>
  <c r="L13" i="5"/>
  <c r="K13" i="5"/>
  <c r="J13" i="5"/>
  <c r="I13" i="5"/>
  <c r="H13" i="5"/>
  <c r="G13" i="5"/>
  <c r="F13" i="5"/>
  <c r="E13" i="5"/>
  <c r="D13" i="5"/>
  <c r="C13" i="5"/>
  <c r="B13" i="5"/>
  <c r="A13" i="5"/>
  <c r="L12" i="5"/>
  <c r="K12" i="5"/>
  <c r="J12" i="5"/>
  <c r="I12" i="5"/>
  <c r="H12" i="5"/>
  <c r="G12" i="5"/>
  <c r="F12" i="5"/>
  <c r="E12" i="5"/>
  <c r="D12" i="5"/>
  <c r="C12" i="5"/>
  <c r="B12" i="5"/>
  <c r="A12" i="5"/>
  <c r="L11" i="5"/>
  <c r="K11" i="5"/>
  <c r="J11" i="5"/>
  <c r="I11" i="5"/>
  <c r="H11" i="5"/>
  <c r="G11" i="5"/>
  <c r="F11" i="5"/>
  <c r="E11" i="5"/>
  <c r="D11" i="5"/>
  <c r="C11" i="5"/>
  <c r="B11" i="5"/>
  <c r="A11" i="5"/>
  <c r="L10" i="5"/>
  <c r="K10" i="5"/>
  <c r="J10" i="5"/>
  <c r="I10" i="5"/>
  <c r="H10" i="5"/>
  <c r="G10" i="5"/>
  <c r="F10" i="5"/>
  <c r="E10" i="5"/>
  <c r="D10" i="5"/>
  <c r="C10" i="5"/>
  <c r="B10" i="5"/>
  <c r="A10" i="5"/>
  <c r="L9" i="5"/>
  <c r="K9" i="5"/>
  <c r="J9" i="5"/>
  <c r="I9" i="5"/>
  <c r="H9" i="5"/>
  <c r="G9" i="5"/>
  <c r="F9" i="5"/>
  <c r="E9" i="5"/>
  <c r="D9" i="5"/>
  <c r="C9" i="5"/>
  <c r="B9" i="5"/>
  <c r="A9" i="5"/>
  <c r="L8" i="5"/>
  <c r="K8" i="5"/>
  <c r="J8" i="5"/>
  <c r="I8" i="5"/>
  <c r="H8" i="5"/>
  <c r="G8" i="5"/>
  <c r="F8" i="5"/>
  <c r="E8" i="5"/>
  <c r="D8" i="5"/>
  <c r="C8" i="5"/>
  <c r="B8" i="5"/>
  <c r="A8" i="5"/>
  <c r="L7" i="5"/>
  <c r="K7" i="5"/>
  <c r="J7" i="5"/>
  <c r="I7" i="5"/>
  <c r="H7" i="5"/>
  <c r="G7" i="5"/>
  <c r="F7" i="5"/>
  <c r="E7" i="5"/>
  <c r="D7" i="5"/>
  <c r="C7" i="5"/>
  <c r="B7" i="5"/>
  <c r="A7" i="5"/>
  <c r="L6" i="5"/>
  <c r="K6" i="5"/>
  <c r="J6" i="5"/>
  <c r="I6" i="5"/>
  <c r="H6" i="5"/>
  <c r="G6" i="5"/>
  <c r="F6" i="5"/>
  <c r="E6" i="5"/>
  <c r="D6" i="5"/>
  <c r="C6" i="5"/>
  <c r="B6" i="5"/>
  <c r="A6" i="5"/>
  <c r="L5" i="5"/>
  <c r="K5" i="5"/>
  <c r="J5" i="5"/>
  <c r="I5" i="5"/>
  <c r="H5" i="5"/>
  <c r="G5" i="5"/>
  <c r="F5" i="5"/>
  <c r="E5" i="5"/>
  <c r="D5" i="5"/>
  <c r="C5" i="5"/>
  <c r="B5" i="5"/>
  <c r="A5" i="5"/>
  <c r="K4" i="5"/>
  <c r="J4" i="5"/>
  <c r="I4" i="5"/>
  <c r="H4" i="5"/>
  <c r="G4" i="5"/>
  <c r="F4" i="5"/>
  <c r="E4" i="5"/>
  <c r="A4" i="5"/>
  <c r="L34" i="4"/>
  <c r="K34" i="4"/>
  <c r="J34" i="4"/>
  <c r="I34" i="4"/>
  <c r="H34" i="4"/>
  <c r="G34" i="4"/>
  <c r="F34" i="4"/>
  <c r="E34" i="4"/>
  <c r="D34" i="4"/>
  <c r="C34" i="4"/>
  <c r="B34" i="4"/>
  <c r="A34" i="4"/>
  <c r="L33" i="4"/>
  <c r="K33" i="4"/>
  <c r="J33" i="4"/>
  <c r="I33" i="4"/>
  <c r="H33" i="4"/>
  <c r="G33" i="4"/>
  <c r="F33" i="4"/>
  <c r="E33" i="4"/>
  <c r="D33" i="4"/>
  <c r="C33" i="4"/>
  <c r="B33" i="4"/>
  <c r="A33" i="4"/>
  <c r="L32" i="4"/>
  <c r="K32" i="4"/>
  <c r="J32" i="4"/>
  <c r="I32" i="4"/>
  <c r="H32" i="4"/>
  <c r="G32" i="4"/>
  <c r="F32" i="4"/>
  <c r="E32" i="4"/>
  <c r="D32" i="4"/>
  <c r="C32" i="4"/>
  <c r="B32" i="4"/>
  <c r="A32" i="4"/>
  <c r="L31" i="4"/>
  <c r="K31" i="4"/>
  <c r="J31" i="4"/>
  <c r="I31" i="4"/>
  <c r="H31" i="4"/>
  <c r="G31" i="4"/>
  <c r="F31" i="4"/>
  <c r="E31" i="4"/>
  <c r="D31" i="4"/>
  <c r="C31" i="4"/>
  <c r="B31" i="4"/>
  <c r="A31" i="4"/>
  <c r="L30" i="4"/>
  <c r="K30" i="4"/>
  <c r="J30" i="4"/>
  <c r="I30" i="4"/>
  <c r="H30" i="4"/>
  <c r="G30" i="4"/>
  <c r="F30" i="4"/>
  <c r="E30" i="4"/>
  <c r="D30" i="4"/>
  <c r="C30" i="4"/>
  <c r="B30" i="4"/>
  <c r="A30" i="4"/>
  <c r="L29" i="4"/>
  <c r="K29" i="4"/>
  <c r="J29" i="4"/>
  <c r="I29" i="4"/>
  <c r="H29" i="4"/>
  <c r="G29" i="4"/>
  <c r="F29" i="4"/>
  <c r="E29" i="4"/>
  <c r="D29" i="4"/>
  <c r="C29" i="4"/>
  <c r="B29" i="4"/>
  <c r="A29" i="4"/>
  <c r="L28" i="4"/>
  <c r="K28" i="4"/>
  <c r="J28" i="4"/>
  <c r="I28" i="4"/>
  <c r="H28" i="4"/>
  <c r="G28" i="4"/>
  <c r="F28" i="4"/>
  <c r="E28" i="4"/>
  <c r="D28" i="4"/>
  <c r="C28" i="4"/>
  <c r="B28" i="4"/>
  <c r="A28" i="4"/>
  <c r="L27" i="4"/>
  <c r="K27" i="4"/>
  <c r="J27" i="4"/>
  <c r="I27" i="4"/>
  <c r="H27" i="4"/>
  <c r="G27" i="4"/>
  <c r="F27" i="4"/>
  <c r="E27" i="4"/>
  <c r="D27" i="4"/>
  <c r="C27" i="4"/>
  <c r="B27" i="4"/>
  <c r="A27" i="4"/>
  <c r="L26" i="4"/>
  <c r="K26" i="4"/>
  <c r="J26" i="4"/>
  <c r="I26" i="4"/>
  <c r="H26" i="4"/>
  <c r="G26" i="4"/>
  <c r="F26" i="4"/>
  <c r="E26" i="4"/>
  <c r="D26" i="4"/>
  <c r="C26" i="4"/>
  <c r="B26" i="4"/>
  <c r="A26" i="4"/>
  <c r="L25" i="4"/>
  <c r="K25" i="4"/>
  <c r="J25" i="4"/>
  <c r="I25" i="4"/>
  <c r="H25" i="4"/>
  <c r="G25" i="4"/>
  <c r="F25" i="4"/>
  <c r="E25" i="4"/>
  <c r="D25" i="4"/>
  <c r="C25" i="4"/>
  <c r="B25" i="4"/>
  <c r="A25" i="4"/>
  <c r="L24" i="4"/>
  <c r="K24" i="4"/>
  <c r="J24" i="4"/>
  <c r="I24" i="4"/>
  <c r="H24" i="4"/>
  <c r="G24" i="4"/>
  <c r="F24" i="4"/>
  <c r="E24" i="4"/>
  <c r="D24" i="4"/>
  <c r="C24" i="4"/>
  <c r="B24" i="4"/>
  <c r="A24" i="4"/>
  <c r="L23" i="4"/>
  <c r="K23" i="4"/>
  <c r="J23" i="4"/>
  <c r="I23" i="4"/>
  <c r="H23" i="4"/>
  <c r="G23" i="4"/>
  <c r="F23" i="4"/>
  <c r="E23" i="4"/>
  <c r="D23" i="4"/>
  <c r="C23" i="4"/>
  <c r="B23" i="4"/>
  <c r="A23" i="4"/>
  <c r="L22" i="4"/>
  <c r="K22" i="4"/>
  <c r="J22" i="4"/>
  <c r="I22" i="4"/>
  <c r="H22" i="4"/>
  <c r="G22" i="4"/>
  <c r="F22" i="4"/>
  <c r="E22" i="4"/>
  <c r="D22" i="4"/>
  <c r="C22" i="4"/>
  <c r="B22" i="4"/>
  <c r="A22" i="4"/>
  <c r="L21" i="4"/>
  <c r="K21" i="4"/>
  <c r="J21" i="4"/>
  <c r="I21" i="4"/>
  <c r="H21" i="4"/>
  <c r="G21" i="4"/>
  <c r="F21" i="4"/>
  <c r="E21" i="4"/>
  <c r="D21" i="4"/>
  <c r="C21" i="4"/>
  <c r="B21" i="4"/>
  <c r="A21" i="4"/>
  <c r="L20" i="4"/>
  <c r="K20" i="4"/>
  <c r="J20" i="4"/>
  <c r="I20" i="4"/>
  <c r="H20" i="4"/>
  <c r="G20" i="4"/>
  <c r="F20" i="4"/>
  <c r="E20" i="4"/>
  <c r="D20" i="4"/>
  <c r="C20" i="4"/>
  <c r="B20" i="4"/>
  <c r="A20" i="4"/>
  <c r="L19" i="4"/>
  <c r="K19" i="4"/>
  <c r="J19" i="4"/>
  <c r="I19" i="4"/>
  <c r="H19" i="4"/>
  <c r="G19" i="4"/>
  <c r="F19" i="4"/>
  <c r="E19" i="4"/>
  <c r="D19" i="4"/>
  <c r="C19" i="4"/>
  <c r="B19" i="4"/>
  <c r="A19" i="4"/>
  <c r="L18" i="4"/>
  <c r="K18" i="4"/>
  <c r="J18" i="4"/>
  <c r="I18" i="4"/>
  <c r="H18" i="4"/>
  <c r="G18" i="4"/>
  <c r="F18" i="4"/>
  <c r="E18" i="4"/>
  <c r="D18" i="4"/>
  <c r="C18" i="4"/>
  <c r="B18" i="4"/>
  <c r="A18" i="4"/>
  <c r="L17" i="4"/>
  <c r="K17" i="4"/>
  <c r="J17" i="4"/>
  <c r="I17" i="4"/>
  <c r="H17" i="4"/>
  <c r="G17" i="4"/>
  <c r="F17" i="4"/>
  <c r="E17" i="4"/>
  <c r="D17" i="4"/>
  <c r="C17" i="4"/>
  <c r="B17" i="4"/>
  <c r="A17" i="4"/>
  <c r="L16" i="4"/>
  <c r="K16" i="4"/>
  <c r="J16" i="4"/>
  <c r="I16" i="4"/>
  <c r="H16" i="4"/>
  <c r="G16" i="4"/>
  <c r="F16" i="4"/>
  <c r="E16" i="4"/>
  <c r="D16" i="4"/>
  <c r="C16" i="4"/>
  <c r="B16" i="4"/>
  <c r="A16" i="4"/>
  <c r="L15" i="4"/>
  <c r="K15" i="4"/>
  <c r="J15" i="4"/>
  <c r="I15" i="4"/>
  <c r="H15" i="4"/>
  <c r="G15" i="4"/>
  <c r="F15" i="4"/>
  <c r="E15" i="4"/>
  <c r="D15" i="4"/>
  <c r="C15" i="4"/>
  <c r="B15" i="4"/>
  <c r="A15" i="4"/>
  <c r="L14" i="4"/>
  <c r="K14" i="4"/>
  <c r="J14" i="4"/>
  <c r="I14" i="4"/>
  <c r="H14" i="4"/>
  <c r="G14" i="4"/>
  <c r="F14" i="4"/>
  <c r="E14" i="4"/>
  <c r="D14" i="4"/>
  <c r="C14" i="4"/>
  <c r="B14" i="4"/>
  <c r="A14" i="4"/>
  <c r="L13" i="4"/>
  <c r="K13" i="4"/>
  <c r="J13" i="4"/>
  <c r="I13" i="4"/>
  <c r="H13" i="4"/>
  <c r="G13" i="4"/>
  <c r="F13" i="4"/>
  <c r="E13" i="4"/>
  <c r="D13" i="4"/>
  <c r="C13" i="4"/>
  <c r="B13" i="4"/>
  <c r="A13" i="4"/>
  <c r="L12" i="4"/>
  <c r="K12" i="4"/>
  <c r="J12" i="4"/>
  <c r="I12" i="4"/>
  <c r="H12" i="4"/>
  <c r="G12" i="4"/>
  <c r="F12" i="4"/>
  <c r="E12" i="4"/>
  <c r="D12" i="4"/>
  <c r="C12" i="4"/>
  <c r="B12" i="4"/>
  <c r="A12" i="4"/>
  <c r="L11" i="4"/>
  <c r="K11" i="4"/>
  <c r="J11" i="4"/>
  <c r="I11" i="4"/>
  <c r="H11" i="4"/>
  <c r="G11" i="4"/>
  <c r="F11" i="4"/>
  <c r="E11" i="4"/>
  <c r="D11" i="4"/>
  <c r="C11" i="4"/>
  <c r="B11" i="4"/>
  <c r="A11" i="4"/>
  <c r="L10" i="4"/>
  <c r="K10" i="4"/>
  <c r="J10" i="4"/>
  <c r="I10" i="4"/>
  <c r="H10" i="4"/>
  <c r="G10" i="4"/>
  <c r="F10" i="4"/>
  <c r="E10" i="4"/>
  <c r="D10" i="4"/>
  <c r="C10" i="4"/>
  <c r="B10" i="4"/>
  <c r="A10" i="4"/>
  <c r="L9" i="4"/>
  <c r="K9" i="4"/>
  <c r="J9" i="4"/>
  <c r="I9" i="4"/>
  <c r="H9" i="4"/>
  <c r="G9" i="4"/>
  <c r="F9" i="4"/>
  <c r="E9" i="4"/>
  <c r="D9" i="4"/>
  <c r="C9" i="4"/>
  <c r="B9" i="4"/>
  <c r="A9" i="4"/>
  <c r="L8" i="4"/>
  <c r="K8" i="4"/>
  <c r="J8" i="4"/>
  <c r="I8" i="4"/>
  <c r="H8" i="4"/>
  <c r="G8" i="4"/>
  <c r="F8" i="4"/>
  <c r="E8" i="4"/>
  <c r="D8" i="4"/>
  <c r="C8" i="4"/>
  <c r="B8" i="4"/>
  <c r="A8" i="4"/>
  <c r="L7" i="4"/>
  <c r="K7" i="4"/>
  <c r="J7" i="4"/>
  <c r="I7" i="4"/>
  <c r="H7" i="4"/>
  <c r="G7" i="4"/>
  <c r="F7" i="4"/>
  <c r="E7" i="4"/>
  <c r="D7" i="4"/>
  <c r="C7" i="4"/>
  <c r="B7" i="4"/>
  <c r="A7" i="4"/>
  <c r="L6" i="4"/>
  <c r="K6" i="4"/>
  <c r="J6" i="4"/>
  <c r="I6" i="4"/>
  <c r="H6" i="4"/>
  <c r="G6" i="4"/>
  <c r="F6" i="4"/>
  <c r="E6" i="4"/>
  <c r="D6" i="4"/>
  <c r="C6" i="4"/>
  <c r="B6" i="4"/>
  <c r="A6" i="4"/>
  <c r="L5" i="4"/>
  <c r="K5" i="4"/>
  <c r="J5" i="4"/>
  <c r="I5" i="4"/>
  <c r="H5" i="4"/>
  <c r="G5" i="4"/>
  <c r="F5" i="4"/>
  <c r="E5" i="4"/>
  <c r="D5" i="4"/>
  <c r="C5" i="4"/>
  <c r="B5" i="4"/>
  <c r="A5" i="4"/>
  <c r="K4" i="4"/>
  <c r="J4" i="4"/>
  <c r="I4" i="4"/>
  <c r="H4" i="4"/>
  <c r="G4" i="4"/>
  <c r="F4" i="4"/>
  <c r="E4" i="4"/>
  <c r="A4" i="4"/>
  <c r="E51" i="3"/>
  <c r="D51" i="3"/>
  <c r="C51" i="3"/>
  <c r="B51" i="3"/>
  <c r="A51" i="3"/>
  <c r="E50" i="3"/>
  <c r="D50" i="3"/>
  <c r="C50" i="3"/>
  <c r="B50" i="3"/>
  <c r="A50" i="3"/>
  <c r="E49" i="3"/>
  <c r="D49" i="3"/>
  <c r="C49" i="3"/>
  <c r="B49" i="3"/>
  <c r="A49" i="3"/>
  <c r="E48" i="3"/>
  <c r="D48" i="3"/>
  <c r="C48" i="3"/>
  <c r="B48" i="3"/>
  <c r="A48" i="3"/>
  <c r="E47" i="3"/>
  <c r="D47" i="3"/>
  <c r="C47" i="3"/>
  <c r="B47" i="3"/>
  <c r="A47" i="3"/>
  <c r="E46" i="3"/>
  <c r="D46" i="3"/>
  <c r="C46" i="3"/>
  <c r="B46" i="3"/>
  <c r="A46" i="3"/>
  <c r="E45" i="3"/>
  <c r="D45" i="3"/>
  <c r="C45" i="3"/>
  <c r="B45" i="3"/>
  <c r="A45" i="3"/>
  <c r="E44" i="3"/>
  <c r="D44" i="3"/>
  <c r="C44" i="3"/>
  <c r="B44" i="3"/>
  <c r="A44" i="3"/>
  <c r="E43" i="3"/>
  <c r="D43" i="3"/>
  <c r="C43" i="3"/>
  <c r="B43" i="3"/>
  <c r="A43" i="3"/>
  <c r="E42" i="3"/>
  <c r="D42" i="3"/>
  <c r="C42" i="3"/>
  <c r="B42" i="3"/>
  <c r="A42" i="3"/>
  <c r="E41" i="3"/>
  <c r="D41" i="3"/>
  <c r="C41" i="3"/>
  <c r="B41" i="3"/>
  <c r="A41" i="3"/>
  <c r="E40" i="3"/>
  <c r="D40" i="3"/>
  <c r="C40" i="3"/>
  <c r="B40" i="3"/>
  <c r="A40" i="3"/>
  <c r="E39" i="3"/>
  <c r="D39" i="3"/>
  <c r="C39" i="3"/>
  <c r="B39" i="3"/>
  <c r="A39" i="3"/>
  <c r="E38" i="3"/>
  <c r="D38" i="3"/>
  <c r="C38" i="3"/>
  <c r="B38" i="3"/>
  <c r="A38" i="3"/>
  <c r="E37" i="3"/>
  <c r="D37" i="3"/>
  <c r="C37" i="3"/>
  <c r="B37" i="3"/>
  <c r="A37" i="3"/>
  <c r="E36" i="3"/>
  <c r="D36" i="3"/>
  <c r="C36" i="3"/>
  <c r="B36" i="3"/>
  <c r="A36" i="3"/>
  <c r="E35" i="3"/>
  <c r="D35" i="3"/>
  <c r="C35" i="3"/>
  <c r="B35" i="3"/>
  <c r="A35" i="3"/>
  <c r="E34" i="3"/>
  <c r="D34" i="3"/>
  <c r="C34" i="3"/>
  <c r="B34" i="3"/>
  <c r="A34" i="3"/>
  <c r="E33" i="3"/>
  <c r="D33" i="3"/>
  <c r="C33" i="3"/>
  <c r="B33" i="3"/>
  <c r="A33" i="3"/>
  <c r="E32" i="3"/>
  <c r="D32" i="3"/>
  <c r="C32" i="3"/>
  <c r="B32" i="3"/>
  <c r="A32" i="3"/>
  <c r="E31" i="3"/>
  <c r="D31" i="3"/>
  <c r="C31" i="3"/>
  <c r="B31" i="3"/>
  <c r="A31" i="3"/>
  <c r="E30" i="3"/>
  <c r="D30" i="3"/>
  <c r="C30" i="3"/>
  <c r="B30" i="3"/>
  <c r="A30" i="3"/>
  <c r="D29" i="3"/>
  <c r="C29" i="3"/>
  <c r="B29" i="3"/>
  <c r="A29" i="3"/>
  <c r="E28" i="3"/>
  <c r="D28" i="3"/>
  <c r="C28" i="3"/>
  <c r="B28" i="3"/>
  <c r="A28" i="3"/>
  <c r="E27" i="3"/>
  <c r="D27" i="3"/>
  <c r="C27" i="3"/>
  <c r="B27" i="3"/>
  <c r="A27" i="3"/>
  <c r="E26" i="3"/>
  <c r="D26" i="3"/>
  <c r="C26" i="3"/>
  <c r="B26" i="3"/>
  <c r="A26" i="3"/>
  <c r="E25" i="3"/>
  <c r="D25" i="3"/>
  <c r="C25" i="3"/>
  <c r="B25" i="3"/>
  <c r="A25" i="3"/>
  <c r="E24" i="3"/>
  <c r="D24" i="3"/>
  <c r="C24" i="3"/>
  <c r="B24" i="3"/>
  <c r="A24" i="3"/>
  <c r="E23" i="3"/>
  <c r="D23" i="3"/>
  <c r="C23" i="3"/>
  <c r="B23" i="3"/>
  <c r="A23" i="3"/>
  <c r="E22" i="3"/>
  <c r="D22" i="3"/>
  <c r="C22" i="3"/>
  <c r="B22" i="3"/>
  <c r="A22" i="3"/>
  <c r="E21" i="3"/>
  <c r="D21" i="3"/>
  <c r="C21" i="3"/>
  <c r="B21" i="3"/>
  <c r="A21" i="3"/>
  <c r="E20" i="3"/>
  <c r="D20" i="3"/>
  <c r="C20" i="3"/>
  <c r="B20" i="3"/>
  <c r="A20" i="3"/>
  <c r="E19" i="3"/>
  <c r="D19" i="3"/>
  <c r="C19" i="3"/>
  <c r="B19" i="3"/>
  <c r="A19" i="3"/>
  <c r="E18" i="3"/>
  <c r="D18" i="3"/>
  <c r="C18" i="3"/>
  <c r="B18" i="3"/>
  <c r="A18" i="3"/>
  <c r="E17" i="3"/>
  <c r="D17" i="3"/>
  <c r="C17" i="3"/>
  <c r="B17" i="3"/>
  <c r="A17" i="3"/>
  <c r="E16" i="3"/>
  <c r="D16" i="3"/>
  <c r="C16" i="3"/>
  <c r="B16" i="3"/>
  <c r="A16" i="3"/>
  <c r="E15" i="3"/>
  <c r="D15" i="3"/>
  <c r="C15" i="3"/>
  <c r="B15" i="3"/>
  <c r="A15" i="3"/>
  <c r="E14" i="3"/>
  <c r="D14" i="3"/>
  <c r="C14" i="3"/>
  <c r="B14" i="3"/>
  <c r="A14" i="3"/>
  <c r="E13" i="3"/>
  <c r="D13" i="3"/>
  <c r="C13" i="3"/>
  <c r="B13" i="3"/>
  <c r="A13" i="3"/>
  <c r="E12" i="3"/>
  <c r="D12" i="3"/>
  <c r="C12" i="3"/>
  <c r="B12" i="3"/>
  <c r="A12" i="3"/>
  <c r="E11" i="3"/>
  <c r="D11" i="3"/>
  <c r="C11" i="3"/>
  <c r="B11" i="3"/>
  <c r="A11" i="3"/>
  <c r="E10" i="3"/>
  <c r="D10" i="3"/>
  <c r="C10" i="3"/>
  <c r="B10" i="3"/>
  <c r="A10" i="3"/>
  <c r="E9" i="3"/>
  <c r="D9" i="3"/>
  <c r="C9" i="3"/>
  <c r="B9" i="3"/>
  <c r="A9" i="3"/>
  <c r="E8" i="3"/>
  <c r="D8" i="3"/>
  <c r="C8" i="3"/>
  <c r="B8" i="3"/>
  <c r="A8" i="3"/>
  <c r="E7" i="3"/>
  <c r="D7" i="3"/>
  <c r="C7" i="3"/>
  <c r="B7" i="3"/>
  <c r="A7" i="3"/>
  <c r="E6" i="3"/>
  <c r="D6" i="3"/>
  <c r="C6" i="3"/>
  <c r="B6" i="3"/>
  <c r="A6" i="3"/>
  <c r="E5" i="3"/>
  <c r="D5" i="3"/>
  <c r="C5" i="3"/>
  <c r="B5" i="3"/>
  <c r="A5" i="3"/>
  <c r="A4" i="3"/>
  <c r="A3" i="3"/>
  <c r="E38" i="2"/>
  <c r="D38" i="2"/>
  <c r="C38" i="2"/>
  <c r="B38" i="2"/>
  <c r="A38" i="2"/>
  <c r="E37" i="2"/>
  <c r="D37" i="2"/>
  <c r="C37" i="2"/>
  <c r="B37" i="2"/>
  <c r="A37" i="2"/>
  <c r="E36" i="2"/>
  <c r="D36" i="2"/>
  <c r="C36" i="2"/>
  <c r="B36" i="2"/>
  <c r="A36" i="2"/>
  <c r="E35" i="2"/>
  <c r="D35" i="2"/>
  <c r="C35" i="2"/>
  <c r="B35" i="2"/>
  <c r="A35" i="2"/>
  <c r="E34" i="2"/>
  <c r="D34" i="2"/>
  <c r="C34" i="2"/>
  <c r="B34" i="2"/>
  <c r="A34" i="2"/>
  <c r="E33" i="2"/>
  <c r="D33" i="2"/>
  <c r="C33" i="2"/>
  <c r="B33" i="2"/>
  <c r="A33" i="2"/>
  <c r="E32" i="2"/>
  <c r="D32" i="2"/>
  <c r="C32" i="2"/>
  <c r="B32" i="2"/>
  <c r="A32" i="2"/>
  <c r="E31" i="2"/>
  <c r="D31" i="2"/>
  <c r="C31" i="2"/>
  <c r="B31" i="2"/>
  <c r="A31" i="2"/>
  <c r="E30" i="2"/>
  <c r="D30" i="2"/>
  <c r="C30" i="2"/>
  <c r="B30" i="2"/>
  <c r="A30" i="2"/>
  <c r="E29" i="2"/>
  <c r="D29" i="2"/>
  <c r="C29" i="2"/>
  <c r="B29" i="2"/>
  <c r="A29" i="2"/>
  <c r="E28" i="2"/>
  <c r="D28" i="2"/>
  <c r="C28" i="2"/>
  <c r="B28" i="2"/>
  <c r="A28" i="2"/>
  <c r="E27" i="2"/>
  <c r="D27" i="2"/>
  <c r="C27" i="2"/>
  <c r="B27" i="2"/>
  <c r="A27" i="2"/>
  <c r="E26" i="2"/>
  <c r="D26" i="2"/>
  <c r="C26" i="2"/>
  <c r="B26" i="2"/>
  <c r="A26" i="2"/>
  <c r="E25" i="2"/>
  <c r="D25" i="2"/>
  <c r="C25" i="2"/>
  <c r="B25" i="2"/>
  <c r="A25" i="2"/>
  <c r="E24" i="2"/>
  <c r="D24" i="2"/>
  <c r="C24" i="2"/>
  <c r="B24" i="2"/>
  <c r="A24" i="2"/>
  <c r="E23" i="2"/>
  <c r="D23" i="2"/>
  <c r="C23" i="2"/>
  <c r="B23" i="2"/>
  <c r="A23" i="2"/>
  <c r="E22" i="2"/>
  <c r="D22" i="2"/>
  <c r="C22" i="2"/>
  <c r="B22" i="2"/>
  <c r="A22" i="2"/>
  <c r="E21" i="2"/>
  <c r="D21" i="2"/>
  <c r="C21" i="2"/>
  <c r="B21" i="2"/>
  <c r="A21" i="2"/>
  <c r="E20" i="2"/>
  <c r="D20" i="2"/>
  <c r="C20" i="2"/>
  <c r="B20" i="2"/>
  <c r="A20" i="2"/>
  <c r="E19" i="2"/>
  <c r="D19" i="2"/>
  <c r="C19" i="2"/>
  <c r="B19" i="2"/>
  <c r="A19" i="2"/>
  <c r="E18" i="2"/>
  <c r="D18" i="2"/>
  <c r="C18" i="2"/>
  <c r="B18" i="2"/>
  <c r="A18" i="2"/>
  <c r="E17" i="2"/>
  <c r="D17" i="2"/>
  <c r="C17" i="2"/>
  <c r="B17" i="2"/>
  <c r="A17" i="2"/>
  <c r="E16" i="2"/>
  <c r="D16" i="2"/>
  <c r="C16" i="2"/>
  <c r="B16" i="2"/>
  <c r="A16" i="2"/>
  <c r="E15" i="2"/>
  <c r="D15" i="2"/>
  <c r="C15" i="2"/>
  <c r="B15" i="2"/>
  <c r="A15" i="2"/>
  <c r="E14" i="2"/>
  <c r="D14" i="2"/>
  <c r="C14" i="2"/>
  <c r="B14" i="2"/>
  <c r="A14" i="2"/>
  <c r="E13" i="2"/>
  <c r="D13" i="2"/>
  <c r="C13" i="2"/>
  <c r="B13" i="2"/>
  <c r="A13" i="2"/>
  <c r="E12" i="2"/>
  <c r="D12" i="2"/>
  <c r="C12" i="2"/>
  <c r="B12" i="2"/>
  <c r="A12" i="2"/>
  <c r="E11" i="2"/>
  <c r="D11" i="2"/>
  <c r="C11" i="2"/>
  <c r="B11" i="2"/>
  <c r="A11" i="2"/>
  <c r="E10" i="2"/>
  <c r="D10" i="2"/>
  <c r="C10" i="2"/>
  <c r="B10" i="2"/>
  <c r="A10" i="2"/>
  <c r="E9" i="2"/>
  <c r="D9" i="2"/>
  <c r="C9" i="2"/>
  <c r="B9" i="2"/>
  <c r="A9" i="2"/>
  <c r="E8" i="2"/>
  <c r="D8" i="2"/>
  <c r="C8" i="2"/>
  <c r="B8" i="2"/>
  <c r="A8" i="2"/>
  <c r="E7" i="2"/>
  <c r="D7" i="2"/>
  <c r="C7" i="2"/>
  <c r="B7" i="2"/>
  <c r="A7" i="2"/>
  <c r="E6" i="2"/>
  <c r="D6" i="2"/>
  <c r="C6" i="2"/>
  <c r="B6" i="2"/>
  <c r="A6" i="2"/>
  <c r="E5" i="2"/>
  <c r="D5" i="2"/>
  <c r="C5" i="2"/>
  <c r="B5" i="2"/>
  <c r="A5" i="2"/>
  <c r="E4" i="2"/>
  <c r="D4" i="2"/>
  <c r="C4" i="2"/>
  <c r="B4" i="2"/>
  <c r="A4" i="2"/>
  <c r="A3" i="2"/>
</calcChain>
</file>

<file path=xl/sharedStrings.xml><?xml version="1.0" encoding="utf-8"?>
<sst xmlns="http://schemas.openxmlformats.org/spreadsheetml/2006/main" count="75" uniqueCount="47">
  <si>
    <r>
      <rPr>
        <b/>
        <sz val="18"/>
        <color rgb="FFFF0000"/>
        <rFont val="Calibri"/>
      </rPr>
      <t>Warning: </t>
    </r>
    <r>
      <rPr>
        <sz val="18"/>
        <color rgb="FFFF0000"/>
        <rFont val="Calibri"/>
      </rPr>
      <t>It is strictly prohibited to send emails by way of the following Pool Links if you are not an authorized Government official. Unauthorized personnel may contact the Prime Contract holders individually, 
but not through the use of the following Pool Links.</t>
    </r>
  </si>
  <si>
    <r>
      <rPr>
        <b/>
        <sz val="14"/>
        <color rgb="FF1B1B1B"/>
        <rFont val="Calibri"/>
      </rPr>
      <t>To issue an RFP or RFI</t>
    </r>
    <r>
      <rPr>
        <sz val="14"/>
        <color rgb="FF1B1B1B"/>
        <rFont val="Calibri"/>
      </rPr>
      <t xml:space="preserve">, the following HCaTS Unrestricted (U), HCaTS Small Business (SB), and HCaTS 8(a) Pool Links generate a group email to all of the official Points of Contact for each prime contract holder in the respective vehicle and pool. 
</t>
    </r>
    <r>
      <rPr>
        <b/>
        <sz val="14"/>
        <color rgb="FF1B1B1B"/>
        <rFont val="Calibri"/>
      </rPr>
      <t>Important: </t>
    </r>
    <r>
      <rPr>
        <sz val="14"/>
        <color rgb="FF1B1B1B"/>
        <rFont val="Calibri"/>
      </rPr>
      <t xml:space="preserve">Each pool is a separate Multiple Award Task Order Contract. When issuing an RFP/RFQ, only one contract vehicle (HCaTS U, HCaTS SB, or HCaTS 8(a)) and one pool (1 or 2) can be solicited.  RFIs, Sources Sought Notices, Market Research, etc. may be issued to any and/or all vehicles under your selected pool.
</t>
    </r>
    <r>
      <rPr>
        <b/>
        <sz val="14"/>
        <color rgb="FF1B1B1B"/>
        <rFont val="Calibri"/>
      </rPr>
      <t>Note:</t>
    </r>
    <r>
      <rPr>
        <sz val="14"/>
        <color rgb="FF1B1B1B"/>
        <rFont val="Calibri"/>
      </rPr>
      <t xml:space="preserve">  If clicking on the email link does not automatically open a draft email, please copy and paste the link into your email To: line.</t>
    </r>
  </si>
  <si>
    <t>Task Order Type</t>
  </si>
  <si>
    <t>Pool 1
NAICS Codes: 611430, 611699, 624310</t>
  </si>
  <si>
    <t xml:space="preserve">Pool 2
NAICS Codes: 541611, 541612, 541613, 
541618, 611710 </t>
  </si>
  <si>
    <t>Full and Open Task Orders:</t>
  </si>
  <si>
    <t>hcats_unrestricted_pool_1_contractors@gsa.gov</t>
  </si>
  <si>
    <t>hcats_unrestricted_pool_2_contractors@gsa.gov</t>
  </si>
  <si>
    <t>Small Business Competitive Set-Aside Task Orders (WOSB/EDWOSB/HubZone/VOSB/SDVOSB sub-set-aside):</t>
  </si>
  <si>
    <t>hcats_small_business_pool_1_contractors@gsa.gov</t>
  </si>
  <si>
    <t>hcats_small_business_pool_2_contractors@gsa.gov</t>
  </si>
  <si>
    <t>For 8(a) Small Business Competitive Set-Aside Task Orders:</t>
  </si>
  <si>
    <t>hcats_8a_pool_1_contractors@gsa.gov</t>
  </si>
  <si>
    <t>hcats_8a_pool_2_contractors@gsa.gov</t>
  </si>
  <si>
    <r>
      <rPr>
        <b/>
        <sz val="14"/>
        <color rgb="FF1B1B1B"/>
        <rFont val="Calibri"/>
      </rPr>
      <t xml:space="preserve">*For Small Business or 8(a) Sole Source type task orders, contact the prospective contractor individually using the contact information from the tabs included in this file.
**NOTE: </t>
    </r>
    <r>
      <rPr>
        <sz val="14"/>
        <color rgb="FF1B1B1B"/>
        <rFont val="Calibri"/>
      </rPr>
      <t>Only an authorized Government official who has a Delegation of Procurement Authority (DPA) for HCaTS contracts may solicit, award, and administer a task order under the HCaTS contracts.  To register for DPA training and download the HCaTS Ordering Guide, please visit the HCaTS website (gsa.gov/hcats).</t>
    </r>
  </si>
  <si>
    <t>HCaTS Unrestricted - Pool 1 - Contractors  (Task Order NAICS Codes: 611430, 611699, 624310)</t>
  </si>
  <si>
    <t>HCaTS Unrestricted
Pool 1 Contract#</t>
  </si>
  <si>
    <t xml:space="preserve">HCaTS Company Name </t>
  </si>
  <si>
    <t>SAM UEI</t>
  </si>
  <si>
    <t>Address</t>
  </si>
  <si>
    <t>Website</t>
  </si>
  <si>
    <t>HCaTS Unrestricted - Pool 2 - Contractors  (Task Order NAICS Codes: 541611, 541612, 541613, 541618, 611710)</t>
  </si>
  <si>
    <t>HCaTS Unrestricted
Pool 2 Contract#</t>
  </si>
  <si>
    <t>HCaTS Small Business - Pool 1 - Contractors  (Task Order NAICS Codes: 611430, 611699, 624310)</t>
  </si>
  <si>
    <t>HCaTS SB
Pool 1 Contract#</t>
  </si>
  <si>
    <t>Socioeconomic Status</t>
  </si>
  <si>
    <t>SDB</t>
  </si>
  <si>
    <t>HUB Zone</t>
  </si>
  <si>
    <t>VOSB</t>
  </si>
  <si>
    <t>SD VOSB</t>
  </si>
  <si>
    <t>VETS 1st Cert</t>
  </si>
  <si>
    <t>WOSB</t>
  </si>
  <si>
    <t>ED WOSB</t>
  </si>
  <si>
    <t>HCaTS Small Business - Pool 2 - Contractors  (Task Order NAICS Codes: 541611, 541612, 541613, 541618, 611710)</t>
  </si>
  <si>
    <t>HCaTS SB
Pool 2 Contract#</t>
  </si>
  <si>
    <t>HCaTS 8(a) - Pool 1 - Contractors  (Task Order NAICS Codes: 611430, 611699, 624310)</t>
  </si>
  <si>
    <t>HCaTS 8(a) 
Pool 1 Contract#</t>
  </si>
  <si>
    <t>HCaTS 8(a)- Pool 2 - Contractors  (Task Order NAICS Codes: 541611, 541612, 541613, 541618, 611710)</t>
  </si>
  <si>
    <t>HCaTS 8(a)
Pool 2 Contract#</t>
  </si>
  <si>
    <t>The following contracts are currently in Dormant Status. The listed contractors may NOT compete for or be awarded a new task order under the referenced contract number.  The contractor may have other contract numbers that are active and eligible for new task order awards.</t>
  </si>
  <si>
    <t>Vehicle</t>
  </si>
  <si>
    <t>Pool#</t>
  </si>
  <si>
    <t>Company Name</t>
  </si>
  <si>
    <t>Contract Number</t>
  </si>
  <si>
    <t>Status</t>
  </si>
  <si>
    <t>Reason</t>
  </si>
  <si>
    <t>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</si>
</sst>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0000000"/>
    <numFmt numFmtId="165" formatCode="m/d/yy"/>
  </numFmts>
  <fonts count="29" x14ac:knownFonts="1">
    <font>
      <sz val="12"/>
      <color rgb="FF000000"/>
      <name val="Calibri"/>
      <scheme val="minor"/>
    </font>
    <font>
      <b/>
      <sz val="18"/>
      <color rgb="FFFF0000"/>
      <name val="Calibri"/>
      <scheme val="minor"/>
    </font>
    <font>
      <sz val="12"/>
      <name val="Calibri"/>
    </font>
    <font>
      <sz val="12"/>
      <color theme="1"/>
      <name val="Calibri"/>
      <scheme val="minor"/>
    </font>
    <font>
      <sz val="14"/>
      <color rgb="FF1B1B1B"/>
      <name val="Calibri"/>
      <scheme val="minor"/>
    </font>
    <font>
      <b/>
      <sz val="14"/>
      <color rgb="FF000000"/>
      <name val="Calibri"/>
      <scheme val="minor"/>
    </font>
    <font>
      <b/>
      <sz val="14"/>
      <color rgb="FF000000"/>
      <name val="Calibri"/>
    </font>
    <font>
      <sz val="12"/>
      <color rgb="FF000000"/>
      <name val="Arial"/>
    </font>
    <font>
      <b/>
      <u/>
      <sz val="12"/>
      <color rgb="FF4A86E8"/>
      <name val="Arial"/>
    </font>
    <font>
      <b/>
      <u/>
      <sz val="12"/>
      <color rgb="FF4A86E8"/>
      <name val="Arial"/>
    </font>
    <font>
      <b/>
      <u/>
      <sz val="12"/>
      <color rgb="FF4A86E8"/>
      <name val="Arial"/>
    </font>
    <font>
      <sz val="12"/>
      <color rgb="FF1B1B1B"/>
      <name val="Calibri"/>
      <scheme val="minor"/>
    </font>
    <font>
      <b/>
      <sz val="14"/>
      <color rgb="FF1B1B1B"/>
      <name val="Calibri"/>
      <scheme val="minor"/>
    </font>
    <font>
      <b/>
      <sz val="20"/>
      <color theme="1"/>
      <name val="Calibri"/>
    </font>
    <font>
      <b/>
      <sz val="22"/>
      <color theme="1"/>
      <name val="Calibri"/>
    </font>
    <font>
      <b/>
      <sz val="12"/>
      <color theme="1"/>
      <name val="Calibri"/>
    </font>
    <font>
      <b/>
      <sz val="11"/>
      <color theme="1"/>
      <name val="Calibri"/>
    </font>
    <font>
      <sz val="11"/>
      <color theme="1"/>
      <name val="Calibri"/>
    </font>
    <font>
      <u/>
      <sz val="11"/>
      <color rgb="FF0000FF"/>
      <name val="Calibri"/>
    </font>
    <font>
      <b/>
      <sz val="16"/>
      <color theme="1"/>
      <name val="Calibri"/>
    </font>
    <font>
      <b/>
      <sz val="10"/>
      <color rgb="FF000000"/>
      <name val="Arial"/>
    </font>
    <font>
      <u/>
      <sz val="11"/>
      <color theme="1"/>
      <name val="Calibri"/>
    </font>
    <font>
      <u/>
      <sz val="11"/>
      <color theme="1"/>
      <name val="Calibri"/>
    </font>
    <font>
      <u/>
      <sz val="11"/>
      <color theme="1"/>
      <name val="Calibri"/>
    </font>
    <font>
      <b/>
      <sz val="10"/>
      <color theme="1"/>
      <name val="Arial"/>
    </font>
    <font>
      <b/>
      <sz val="18"/>
      <color rgb="FFFF0000"/>
      <name val="Calibri"/>
    </font>
    <font>
      <sz val="18"/>
      <color rgb="FFFF0000"/>
      <name val="Calibri"/>
    </font>
    <font>
      <b/>
      <sz val="14"/>
      <color rgb="FF1B1B1B"/>
      <name val="Calibri"/>
    </font>
    <font>
      <sz val="14"/>
      <color rgb="FF1B1B1B"/>
      <name val="Calibri"/>
    </font>
  </fonts>
  <fills count="15">
    <fill>
      <patternFill patternType="none"/>
    </fill>
    <fill>
      <patternFill patternType="gray125"/>
    </fill>
    <fill>
      <patternFill patternType="solid">
        <fgColor rgb="FFFCE5CD"/>
        <bgColor rgb="FFFCE5CD"/>
      </patternFill>
    </fill>
    <fill>
      <patternFill patternType="solid">
        <fgColor rgb="FFFFFFFF"/>
        <bgColor rgb="FFFFFFFF"/>
      </patternFill>
    </fill>
    <fill>
      <patternFill patternType="solid">
        <fgColor rgb="FFC9DAF8"/>
        <bgColor rgb="FFC9DAF8"/>
      </patternFill>
    </fill>
    <fill>
      <patternFill patternType="solid">
        <fgColor rgb="FFFFF2CC"/>
        <bgColor rgb="FFFFF2CC"/>
      </patternFill>
    </fill>
    <fill>
      <patternFill patternType="solid">
        <fgColor rgb="FFF6B26B"/>
        <bgColor rgb="FFF6B26B"/>
      </patternFill>
    </fill>
    <fill>
      <patternFill patternType="solid">
        <fgColor rgb="FFF9CB9C"/>
        <bgColor rgb="FFF9CB9C"/>
      </patternFill>
    </fill>
    <fill>
      <patternFill patternType="solid">
        <fgColor rgb="FF6D9EEB"/>
        <bgColor rgb="FF6D9EEB"/>
      </patternFill>
    </fill>
    <fill>
      <patternFill patternType="solid">
        <fgColor rgb="FFA4C2F4"/>
        <bgColor rgb="FFA4C2F4"/>
      </patternFill>
    </fill>
    <fill>
      <patternFill patternType="solid">
        <fgColor rgb="FFC4D6F0"/>
        <bgColor rgb="FFC4D6F0"/>
      </patternFill>
    </fill>
    <fill>
      <patternFill patternType="solid">
        <fgColor rgb="FF93C47D"/>
        <bgColor rgb="FF93C47D"/>
      </patternFill>
    </fill>
    <fill>
      <patternFill patternType="solid">
        <fgColor rgb="FFB6D7A8"/>
        <bgColor rgb="FFB6D7A8"/>
      </patternFill>
    </fill>
    <fill>
      <patternFill patternType="solid">
        <fgColor rgb="FF999999"/>
        <bgColor rgb="FF999999"/>
      </patternFill>
    </fill>
    <fill>
      <patternFill patternType="solid">
        <fgColor rgb="FFEFEFEF"/>
        <bgColor rgb="FFEFEFEF"/>
      </patternFill>
    </fill>
  </fills>
  <borders count="27">
    <border>
      <left/>
      <right/>
      <top/>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diagonal/>
    </border>
    <border>
      <left/>
      <right style="thick">
        <color rgb="FF000000"/>
      </right>
      <top/>
      <bottom/>
      <diagonal/>
    </border>
    <border>
      <left style="thick">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diagonal/>
    </border>
    <border>
      <left/>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s>
  <cellStyleXfs count="1">
    <xf numFmtId="0" fontId="0" fillId="0" borderId="0"/>
  </cellStyleXfs>
  <cellXfs count="89">
    <xf numFmtId="0" fontId="0" fillId="0" borderId="0" xfId="0"/>
    <xf numFmtId="0" fontId="3" fillId="0" borderId="0" xfId="0" applyFont="1"/>
    <xf numFmtId="0" fontId="5" fillId="4" borderId="6"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7" fillId="0" borderId="0" xfId="0" applyFont="1"/>
    <xf numFmtId="0" fontId="0" fillId="3" borderId="6" xfId="0" applyFill="1" applyBorder="1" applyAlignment="1">
      <alignment horizontal="left" vertical="center" wrapText="1"/>
    </xf>
    <xf numFmtId="0" fontId="8" fillId="3" borderId="7" xfId="0" applyFont="1" applyFill="1" applyBorder="1" applyAlignment="1">
      <alignment horizontal="center" vertical="center"/>
    </xf>
    <xf numFmtId="0" fontId="9" fillId="3" borderId="8" xfId="0" applyFont="1" applyFill="1" applyBorder="1" applyAlignment="1">
      <alignment horizontal="center" vertical="center"/>
    </xf>
    <xf numFmtId="0" fontId="10" fillId="3" borderId="7" xfId="0" applyFont="1" applyFill="1" applyBorder="1" applyAlignment="1">
      <alignment horizontal="center" vertical="center" wrapText="1"/>
    </xf>
    <xf numFmtId="0" fontId="11" fillId="3" borderId="6" xfId="0" applyFont="1" applyFill="1" applyBorder="1" applyAlignment="1">
      <alignment horizontal="left" vertical="center" wrapText="1"/>
    </xf>
    <xf numFmtId="0" fontId="13" fillId="6" borderId="12" xfId="0" applyFont="1" applyFill="1" applyBorder="1" applyAlignment="1">
      <alignment vertical="center"/>
    </xf>
    <xf numFmtId="0" fontId="14" fillId="6" borderId="13" xfId="0" applyFont="1" applyFill="1" applyBorder="1" applyAlignment="1">
      <alignment vertical="center" wrapText="1"/>
    </xf>
    <xf numFmtId="0" fontId="14" fillId="6" borderId="13" xfId="0" applyFont="1" applyFill="1" applyBorder="1" applyAlignment="1">
      <alignment vertical="center"/>
    </xf>
    <xf numFmtId="0" fontId="15" fillId="7" borderId="12" xfId="0" applyFont="1" applyFill="1" applyBorder="1" applyAlignment="1">
      <alignment horizontal="center" vertical="center" wrapText="1"/>
    </xf>
    <xf numFmtId="0" fontId="15" fillId="7" borderId="13" xfId="0" applyFont="1" applyFill="1" applyBorder="1" applyAlignment="1">
      <alignment horizontal="center" vertical="center" wrapText="1"/>
    </xf>
    <xf numFmtId="0" fontId="16" fillId="0" borderId="0" xfId="0" applyFont="1" applyAlignment="1">
      <alignment vertical="center"/>
    </xf>
    <xf numFmtId="0" fontId="16" fillId="0" borderId="0" xfId="0" applyFont="1" applyAlignment="1">
      <alignment vertical="center" wrapText="1"/>
    </xf>
    <xf numFmtId="164" fontId="17" fillId="0" borderId="0" xfId="0" applyNumberFormat="1" applyFont="1" applyAlignment="1">
      <alignment vertical="center"/>
    </xf>
    <xf numFmtId="0" fontId="17" fillId="0" borderId="0" xfId="0" applyFont="1" applyAlignment="1">
      <alignment vertical="center" wrapText="1"/>
    </xf>
    <xf numFmtId="0" fontId="18" fillId="0" borderId="0" xfId="0" applyFont="1" applyAlignment="1">
      <alignment vertical="center" wrapText="1"/>
    </xf>
    <xf numFmtId="0" fontId="13" fillId="6" borderId="13" xfId="0" applyFont="1" applyFill="1" applyBorder="1" applyAlignment="1">
      <alignment vertical="center" wrapText="1"/>
    </xf>
    <xf numFmtId="0" fontId="13" fillId="6" borderId="13" xfId="0" applyFont="1" applyFill="1" applyBorder="1" applyAlignment="1">
      <alignment vertical="center"/>
    </xf>
    <xf numFmtId="0" fontId="13" fillId="6" borderId="13" xfId="0" applyFont="1" applyFill="1" applyBorder="1" applyAlignment="1">
      <alignment horizontal="left" vertical="center" wrapText="1"/>
    </xf>
    <xf numFmtId="0" fontId="15" fillId="7" borderId="13" xfId="0" applyFont="1" applyFill="1" applyBorder="1" applyAlignment="1">
      <alignment horizontal="left" vertical="center" wrapText="1"/>
    </xf>
    <xf numFmtId="0" fontId="17" fillId="0" borderId="0" xfId="0" applyFont="1" applyAlignment="1">
      <alignment horizontal="left" vertical="center" wrapText="1"/>
    </xf>
    <xf numFmtId="0" fontId="13" fillId="8" borderId="12" xfId="0" applyFont="1" applyFill="1" applyBorder="1" applyAlignment="1">
      <alignment vertical="center"/>
    </xf>
    <xf numFmtId="0" fontId="14" fillId="8" borderId="13" xfId="0" applyFont="1" applyFill="1" applyBorder="1" applyAlignment="1">
      <alignment vertical="center" wrapText="1"/>
    </xf>
    <xf numFmtId="0" fontId="14" fillId="8" borderId="13" xfId="0" applyFont="1" applyFill="1" applyBorder="1" applyAlignment="1">
      <alignment vertical="center"/>
    </xf>
    <xf numFmtId="0" fontId="14" fillId="8" borderId="14" xfId="0" applyFont="1" applyFill="1" applyBorder="1" applyAlignment="1">
      <alignment vertical="center"/>
    </xf>
    <xf numFmtId="0" fontId="19" fillId="8" borderId="15" xfId="0" applyFont="1" applyFill="1" applyBorder="1" applyAlignment="1">
      <alignment vertical="center"/>
    </xf>
    <xf numFmtId="0" fontId="17" fillId="8" borderId="16" xfId="0" applyFont="1" applyFill="1" applyBorder="1" applyAlignment="1">
      <alignment vertical="center"/>
    </xf>
    <xf numFmtId="0" fontId="17" fillId="8" borderId="16" xfId="0" applyFont="1" applyFill="1" applyBorder="1" applyAlignment="1">
      <alignment vertical="center" wrapText="1"/>
    </xf>
    <xf numFmtId="0" fontId="20" fillId="7" borderId="21" xfId="0" applyFont="1" applyFill="1" applyBorder="1" applyAlignment="1">
      <alignment horizontal="center" wrapText="1"/>
    </xf>
    <xf numFmtId="0" fontId="20" fillId="7" borderId="22" xfId="0" applyFont="1" applyFill="1" applyBorder="1" applyAlignment="1">
      <alignment horizontal="center" wrapText="1"/>
    </xf>
    <xf numFmtId="0" fontId="20" fillId="7" borderId="23" xfId="0" applyFont="1" applyFill="1" applyBorder="1" applyAlignment="1">
      <alignment horizontal="center" wrapText="1"/>
    </xf>
    <xf numFmtId="0" fontId="16" fillId="3" borderId="0" xfId="0" applyFont="1" applyFill="1" applyAlignment="1">
      <alignment vertical="center"/>
    </xf>
    <xf numFmtId="0" fontId="16" fillId="3" borderId="0" xfId="0" applyFont="1" applyFill="1" applyAlignment="1">
      <alignment vertical="center" wrapText="1"/>
    </xf>
    <xf numFmtId="164" fontId="17" fillId="3" borderId="0" xfId="0" applyNumberFormat="1" applyFont="1" applyFill="1" applyAlignment="1">
      <alignment vertical="center"/>
    </xf>
    <xf numFmtId="0" fontId="17" fillId="3" borderId="0" xfId="0" applyFont="1" applyFill="1" applyAlignment="1">
      <alignment vertical="center" wrapText="1"/>
    </xf>
    <xf numFmtId="0" fontId="17" fillId="3" borderId="0" xfId="0" applyFont="1" applyFill="1" applyAlignment="1">
      <alignment horizontal="center" vertical="center"/>
    </xf>
    <xf numFmtId="0" fontId="16" fillId="10" borderId="0" xfId="0" applyFont="1" applyFill="1" applyAlignment="1">
      <alignment vertical="center"/>
    </xf>
    <xf numFmtId="0" fontId="16" fillId="10" borderId="0" xfId="0" applyFont="1" applyFill="1" applyAlignment="1">
      <alignment vertical="center" wrapText="1"/>
    </xf>
    <xf numFmtId="164" fontId="17" fillId="10" borderId="0" xfId="0" applyNumberFormat="1" applyFont="1" applyFill="1" applyAlignment="1">
      <alignment vertical="center"/>
    </xf>
    <xf numFmtId="0" fontId="17" fillId="10" borderId="0" xfId="0" applyFont="1" applyFill="1" applyAlignment="1">
      <alignment vertical="center" wrapText="1"/>
    </xf>
    <xf numFmtId="0" fontId="17" fillId="10" borderId="0" xfId="0" applyFont="1" applyFill="1" applyAlignment="1">
      <alignment horizontal="center" vertical="center"/>
    </xf>
    <xf numFmtId="0" fontId="21" fillId="10" borderId="0" xfId="0" applyFont="1" applyFill="1" applyAlignment="1">
      <alignment vertical="center" wrapText="1"/>
    </xf>
    <xf numFmtId="0" fontId="22" fillId="3" borderId="0" xfId="0" applyFont="1" applyFill="1" applyAlignment="1">
      <alignment vertical="center" wrapText="1"/>
    </xf>
    <xf numFmtId="0" fontId="17" fillId="3" borderId="0" xfId="0" applyFont="1" applyFill="1" applyAlignment="1">
      <alignment vertical="center"/>
    </xf>
    <xf numFmtId="0" fontId="17" fillId="10" borderId="0" xfId="0" applyFont="1" applyFill="1" applyAlignment="1">
      <alignment vertical="center"/>
    </xf>
    <xf numFmtId="0" fontId="14" fillId="8" borderId="24" xfId="0" applyFont="1" applyFill="1" applyBorder="1" applyAlignment="1">
      <alignment vertical="center"/>
    </xf>
    <xf numFmtId="0" fontId="19" fillId="8" borderId="25" xfId="0" applyFont="1" applyFill="1" applyBorder="1" applyAlignment="1">
      <alignment vertical="center"/>
    </xf>
    <xf numFmtId="0" fontId="17" fillId="8" borderId="13" xfId="0" applyFont="1" applyFill="1" applyBorder="1" applyAlignment="1">
      <alignment vertical="center"/>
    </xf>
    <xf numFmtId="0" fontId="20" fillId="7" borderId="26" xfId="0" applyFont="1" applyFill="1" applyBorder="1" applyAlignment="1">
      <alignment horizontal="center" wrapText="1"/>
    </xf>
    <xf numFmtId="0" fontId="13" fillId="11" borderId="12" xfId="0" applyFont="1" applyFill="1" applyBorder="1" applyAlignment="1">
      <alignment vertical="center"/>
    </xf>
    <xf numFmtId="0" fontId="14" fillId="11" borderId="13" xfId="0" applyFont="1" applyFill="1" applyBorder="1" applyAlignment="1">
      <alignment vertical="center" wrapText="1"/>
    </xf>
    <xf numFmtId="0" fontId="14" fillId="11" borderId="13" xfId="0" applyFont="1" applyFill="1" applyBorder="1" applyAlignment="1">
      <alignment vertical="center"/>
    </xf>
    <xf numFmtId="0" fontId="15" fillId="12" borderId="12" xfId="0" applyFont="1" applyFill="1" applyBorder="1" applyAlignment="1">
      <alignment horizontal="center" vertical="center" wrapText="1"/>
    </xf>
    <xf numFmtId="0" fontId="15" fillId="12" borderId="13" xfId="0" applyFont="1" applyFill="1" applyBorder="1" applyAlignment="1">
      <alignment horizontal="center" vertical="center" wrapText="1"/>
    </xf>
    <xf numFmtId="0" fontId="23" fillId="0" borderId="0" xfId="0" applyFont="1" applyAlignment="1">
      <alignment vertical="center" wrapText="1"/>
    </xf>
    <xf numFmtId="0" fontId="13" fillId="11" borderId="13" xfId="0" applyFont="1" applyFill="1" applyBorder="1" applyAlignment="1">
      <alignment vertical="center" wrapText="1"/>
    </xf>
    <xf numFmtId="0" fontId="13" fillId="11" borderId="13" xfId="0" applyFont="1" applyFill="1" applyBorder="1" applyAlignment="1">
      <alignment vertical="center"/>
    </xf>
    <xf numFmtId="0" fontId="15" fillId="12" borderId="13" xfId="0" applyFont="1" applyFill="1" applyBorder="1" applyAlignment="1">
      <alignment horizontal="center" vertical="center"/>
    </xf>
    <xf numFmtId="0" fontId="24" fillId="4" borderId="0" xfId="0" applyFont="1" applyFill="1" applyAlignment="1">
      <alignment wrapText="1"/>
    </xf>
    <xf numFmtId="0" fontId="3" fillId="3" borderId="0" xfId="0" applyFont="1" applyFill="1" applyAlignment="1">
      <alignment wrapText="1"/>
    </xf>
    <xf numFmtId="49" fontId="3" fillId="3" borderId="0" xfId="0" applyNumberFormat="1" applyFont="1" applyFill="1" applyAlignment="1">
      <alignment wrapText="1"/>
    </xf>
    <xf numFmtId="14" fontId="3" fillId="3" borderId="0" xfId="0" applyNumberFormat="1" applyFont="1" applyFill="1" applyAlignment="1">
      <alignment wrapText="1"/>
    </xf>
    <xf numFmtId="0" fontId="3" fillId="14" borderId="0" xfId="0" applyFont="1" applyFill="1" applyAlignment="1">
      <alignment wrapText="1"/>
    </xf>
    <xf numFmtId="49" fontId="3" fillId="14" borderId="0" xfId="0" applyNumberFormat="1" applyFont="1" applyFill="1" applyAlignment="1">
      <alignment wrapText="1"/>
    </xf>
    <xf numFmtId="14" fontId="3" fillId="14" borderId="0" xfId="0" applyNumberFormat="1" applyFont="1" applyFill="1" applyAlignment="1">
      <alignment wrapText="1"/>
    </xf>
    <xf numFmtId="165" fontId="3" fillId="14" borderId="0" xfId="0" applyNumberFormat="1" applyFont="1" applyFill="1" applyAlignment="1">
      <alignment wrapText="1"/>
    </xf>
    <xf numFmtId="165" fontId="3" fillId="3" borderId="0" xfId="0" applyNumberFormat="1" applyFont="1" applyFill="1" applyAlignment="1">
      <alignment wrapText="1"/>
    </xf>
    <xf numFmtId="0" fontId="1" fillId="2" borderId="1" xfId="0" applyFont="1" applyFill="1" applyBorder="1" applyAlignment="1">
      <alignment horizontal="center" vertical="center" wrapText="1"/>
    </xf>
    <xf numFmtId="0" fontId="2" fillId="0" borderId="2" xfId="0" applyFont="1" applyBorder="1"/>
    <xf numFmtId="0" fontId="2" fillId="0" borderId="3" xfId="0" applyFont="1" applyBorder="1"/>
    <xf numFmtId="0" fontId="4" fillId="3" borderId="4" xfId="0" applyFont="1" applyFill="1" applyBorder="1" applyAlignment="1">
      <alignment horizontal="left" vertical="center" wrapText="1"/>
    </xf>
    <xf numFmtId="0" fontId="0" fillId="0" borderId="0" xfId="0"/>
    <xf numFmtId="0" fontId="2" fillId="0" borderId="5" xfId="0" applyFont="1" applyBorder="1"/>
    <xf numFmtId="0" fontId="12" fillId="5" borderId="9" xfId="0" applyFont="1" applyFill="1" applyBorder="1" applyAlignment="1">
      <alignment horizontal="center" vertical="center" wrapText="1"/>
    </xf>
    <xf numFmtId="0" fontId="2" fillId="0" borderId="10" xfId="0" applyFont="1" applyBorder="1"/>
    <xf numFmtId="0" fontId="2" fillId="0" borderId="11" xfId="0" applyFont="1" applyBorder="1"/>
    <xf numFmtId="0" fontId="15" fillId="9" borderId="17" xfId="0" applyFont="1" applyFill="1" applyBorder="1" applyAlignment="1">
      <alignment horizontal="center" vertical="center" wrapText="1"/>
    </xf>
    <xf numFmtId="0" fontId="2" fillId="10" borderId="19" xfId="0" applyFont="1" applyFill="1" applyBorder="1"/>
    <xf numFmtId="0" fontId="15" fillId="9" borderId="16" xfId="0" applyFont="1" applyFill="1" applyBorder="1" applyAlignment="1">
      <alignment horizontal="center" vertical="center" wrapText="1"/>
    </xf>
    <xf numFmtId="0" fontId="2" fillId="10" borderId="20" xfId="0" applyFont="1" applyFill="1" applyBorder="1"/>
    <xf numFmtId="0" fontId="20" fillId="7" borderId="12" xfId="0" applyFont="1" applyFill="1" applyBorder="1" applyAlignment="1">
      <alignment horizontal="center" wrapText="1"/>
    </xf>
    <xf numFmtId="0" fontId="2" fillId="3" borderId="13" xfId="0" applyFont="1" applyFill="1" applyBorder="1"/>
    <xf numFmtId="0" fontId="2" fillId="3" borderId="18" xfId="0" applyFont="1" applyFill="1" applyBorder="1"/>
    <xf numFmtId="0" fontId="6" fillId="13" borderId="0" xfId="0" applyFont="1" applyFill="1" applyAlignment="1">
      <alignment horizontal="center" vertical="center" wrapText="1"/>
    </xf>
  </cellXfs>
  <cellStyles count="1">
    <cellStyle name="Normal" xfId="0" builtinId="0"/>
  </cellStyles>
  <dxfs count="20">
    <dxf>
      <fill>
        <patternFill patternType="solid">
          <fgColor rgb="FFD9EAD3"/>
          <bgColor rgb="FFD9EAD3"/>
        </patternFill>
      </fill>
    </dxf>
    <dxf>
      <fill>
        <patternFill patternType="solid">
          <fgColor rgb="FFFFFFFF"/>
          <bgColor rgb="FFFFFFFF"/>
        </patternFill>
      </fill>
    </dxf>
    <dxf>
      <fill>
        <patternFill patternType="solid">
          <fgColor rgb="FFFCE5CD"/>
          <bgColor rgb="FFFCE5CD"/>
        </patternFill>
      </fill>
    </dxf>
    <dxf>
      <fill>
        <patternFill patternType="solid">
          <fgColor rgb="FFFFFFFF"/>
          <bgColor rgb="FFFFFFFF"/>
        </patternFill>
      </fill>
    </dxf>
    <dxf>
      <fill>
        <patternFill patternType="solid">
          <fgColor rgb="FFD9EAD3"/>
          <bgColor rgb="FFD9EAD3"/>
        </patternFill>
      </fill>
    </dxf>
    <dxf>
      <fill>
        <patternFill patternType="solid">
          <fgColor rgb="FFFFFFFF"/>
          <bgColor rgb="FFFFFFFF"/>
        </patternFill>
      </fill>
    </dxf>
    <dxf>
      <fill>
        <patternFill patternType="solid">
          <fgColor rgb="FFFCE5CD"/>
          <bgColor rgb="FFFCE5CD"/>
        </patternFill>
      </fill>
    </dxf>
    <dxf>
      <fill>
        <patternFill patternType="solid">
          <fgColor rgb="FFFFFFFF"/>
          <bgColor rgb="FFFFFFFF"/>
        </patternFill>
      </fill>
    </dxf>
    <dxf>
      <fill>
        <patternFill patternType="solid">
          <fgColor rgb="FFFCE5CD"/>
          <bgColor rgb="FFFCE5CD"/>
        </patternFill>
      </fill>
    </dxf>
    <dxf>
      <fill>
        <patternFill patternType="solid">
          <fgColor rgb="FFFFFFFF"/>
          <bgColor rgb="FFFFFFFF"/>
        </patternFill>
      </fill>
    </dxf>
    <dxf>
      <fill>
        <patternFill patternType="solid">
          <fgColor rgb="FFFCE5CD"/>
          <bgColor rgb="FFFCE5CD"/>
        </patternFill>
      </fill>
    </dxf>
    <dxf>
      <fill>
        <patternFill patternType="solid">
          <fgColor rgb="FFFFFFFF"/>
          <bgColor rgb="FFFFFFFF"/>
        </patternFill>
      </fill>
    </dxf>
    <dxf>
      <fill>
        <patternFill patternType="solid">
          <fgColor rgb="FFFCE5CD"/>
          <bgColor rgb="FFFCE5CD"/>
        </patternFill>
      </fill>
    </dxf>
    <dxf>
      <fill>
        <patternFill patternType="solid">
          <fgColor rgb="FFFFFFFF"/>
          <bgColor rgb="FFFFFFFF"/>
        </patternFill>
      </fill>
    </dxf>
    <dxf>
      <fill>
        <patternFill patternType="solid">
          <fgColor rgb="FFFCE5CD"/>
          <bgColor rgb="FFFCE5CD"/>
        </patternFill>
      </fill>
    </dxf>
    <dxf>
      <fill>
        <patternFill patternType="solid">
          <fgColor rgb="FFFFFFFF"/>
          <bgColor rgb="FFFFFFFF"/>
        </patternFill>
      </fill>
    </dxf>
    <dxf>
      <fill>
        <patternFill patternType="solid">
          <fgColor rgb="FFFCE5CD"/>
          <bgColor rgb="FFFCE5CD"/>
        </patternFill>
      </fill>
    </dxf>
    <dxf>
      <fill>
        <patternFill patternType="solid">
          <fgColor rgb="FFFFFFFF"/>
          <bgColor rgb="FFFFFFFF"/>
        </patternFill>
      </fill>
    </dxf>
    <dxf>
      <fill>
        <patternFill patternType="solid">
          <fgColor rgb="FFFCE5CD"/>
          <bgColor rgb="FFFCE5CD"/>
        </patternFill>
      </fill>
    </dxf>
    <dxf>
      <fill>
        <patternFill patternType="solid">
          <fgColor rgb="FFFFFFFF"/>
          <bgColor rgb="FFFFFFFF"/>
        </patternFill>
      </fill>
    </dxf>
  </dxfs>
  <tableStyles count="10">
    <tableStyle name="Unrestricted Pool 1-style" pivot="0" count="2" xr9:uid="{00000000-0011-0000-FFFF-FFFF00000000}">
      <tableStyleElement type="firstRowStripe" dxfId="19"/>
      <tableStyleElement type="secondRowStripe" dxfId="18"/>
    </tableStyle>
    <tableStyle name="Unrestricted Pool 1-style 2" pivot="0" count="2" xr9:uid="{00000000-0011-0000-FFFF-FFFF01000000}">
      <tableStyleElement type="firstRowStripe" dxfId="17"/>
      <tableStyleElement type="secondRowStripe" dxfId="16"/>
    </tableStyle>
    <tableStyle name="Unrestricted Pool 2-style" pivot="0" count="2" xr9:uid="{00000000-0011-0000-FFFF-FFFF02000000}">
      <tableStyleElement type="firstRowStripe" dxfId="15"/>
      <tableStyleElement type="secondRowStripe" dxfId="14"/>
    </tableStyle>
    <tableStyle name="Unrestricted Pool 2-style 2" pivot="0" count="2" xr9:uid="{00000000-0011-0000-FFFF-FFFF03000000}">
      <tableStyleElement type="firstRowStripe" dxfId="13"/>
      <tableStyleElement type="secondRowStripe" dxfId="12"/>
    </tableStyle>
    <tableStyle name="Small Business Pool 1-style" pivot="0" count="2" xr9:uid="{00000000-0011-0000-FFFF-FFFF04000000}">
      <tableStyleElement type="firstRowStripe" dxfId="11"/>
      <tableStyleElement type="secondRowStripe" dxfId="10"/>
    </tableStyle>
    <tableStyle name="Small Business Pool 2-style" pivot="0" count="2" xr9:uid="{00000000-0011-0000-FFFF-FFFF05000000}">
      <tableStyleElement type="firstRowStripe" dxfId="9"/>
      <tableStyleElement type="secondRowStripe" dxfId="8"/>
    </tableStyle>
    <tableStyle name="8(a) Pool 1-style" pivot="0" count="2" xr9:uid="{00000000-0011-0000-FFFF-FFFF06000000}">
      <tableStyleElement type="firstRowStripe" dxfId="7"/>
      <tableStyleElement type="secondRowStripe" dxfId="6"/>
    </tableStyle>
    <tableStyle name="8(a) Pool 1-style 2" pivot="0" count="2" xr9:uid="{00000000-0011-0000-FFFF-FFFF07000000}">
      <tableStyleElement type="firstRowStripe" dxfId="5"/>
      <tableStyleElement type="secondRowStripe" dxfId="4"/>
    </tableStyle>
    <tableStyle name="8(a) Pool 2-style" pivot="0" count="2" xr9:uid="{00000000-0011-0000-FFFF-FFFF08000000}">
      <tableStyleElement type="firstRowStripe" dxfId="3"/>
      <tableStyleElement type="secondRowStripe" dxfId="2"/>
    </tableStyle>
    <tableStyle name="8(a) Pool 2-style 2" pivot="0" count="2" xr9:uid="{00000000-0011-0000-FFFF-FFFF09000000}">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1" headerRowCount="0">
  <tableColumns count="1">
    <tableColumn id="1" xr3:uid="{00000000-0010-0000-0000-000001000000}" name="Column1"/>
  </tableColumns>
  <tableStyleInfo name="Unrestricted Pool 1-style" showFirstColumn="1" showLastColumn="1"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e_10" displayName="Table_10" ref="A2:E40" headerRowCount="0">
  <tableColumns count="5">
    <tableColumn id="1" xr3:uid="{00000000-0010-0000-0900-000001000000}" name="Column1"/>
    <tableColumn id="2" xr3:uid="{00000000-0010-0000-0900-000002000000}" name="Column2"/>
    <tableColumn id="3" xr3:uid="{00000000-0010-0000-0900-000003000000}" name="Column3"/>
    <tableColumn id="4" xr3:uid="{00000000-0010-0000-0900-000004000000}" name="Column4"/>
    <tableColumn id="5" xr3:uid="{00000000-0010-0000-0900-000005000000}" name="Column5"/>
  </tableColumns>
  <tableStyleInfo name="8(a) Pool 2-style 2"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A2:E40" headerRowCount="0">
  <tableColumns count="5">
    <tableColumn id="1" xr3:uid="{00000000-0010-0000-0100-000001000000}" name="Column1"/>
    <tableColumn id="2" xr3:uid="{00000000-0010-0000-0100-000002000000}" name="Column2"/>
    <tableColumn id="3" xr3:uid="{00000000-0010-0000-0100-000003000000}" name="Column3"/>
    <tableColumn id="4" xr3:uid="{00000000-0010-0000-0100-000004000000}" name="Column4"/>
    <tableColumn id="5" xr3:uid="{00000000-0010-0000-0100-000005000000}" name="Column5"/>
  </tableColumns>
  <tableStyleInfo name="Unrestricted Pool 1-style 2" showFirstColumn="1" showLastColumn="1"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_3" displayName="Table_3" ref="A1:E1" headerRowCount="0">
  <tableColumns count="5">
    <tableColumn id="1" xr3:uid="{00000000-0010-0000-0200-000001000000}" name="Column1"/>
    <tableColumn id="2" xr3:uid="{00000000-0010-0000-0200-000002000000}" name="Column2"/>
    <tableColumn id="3" xr3:uid="{00000000-0010-0000-0200-000003000000}" name="Column3"/>
    <tableColumn id="4" xr3:uid="{00000000-0010-0000-0200-000004000000}" name="Column4"/>
    <tableColumn id="5" xr3:uid="{00000000-0010-0000-0200-000005000000}" name="Column5"/>
  </tableColumns>
  <tableStyleInfo name="Unrestricted Pool 2-style" showFirstColumn="1" showLastColumn="1"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_4" displayName="Table_4" ref="A2:E55" headerRowCount="0">
  <tableColumns count="5">
    <tableColumn id="1" xr3:uid="{00000000-0010-0000-0300-000001000000}" name="Column1"/>
    <tableColumn id="2" xr3:uid="{00000000-0010-0000-0300-000002000000}" name="Column2"/>
    <tableColumn id="3" xr3:uid="{00000000-0010-0000-0300-000003000000}" name="Column3"/>
    <tableColumn id="4" xr3:uid="{00000000-0010-0000-0300-000004000000}" name="Column4"/>
    <tableColumn id="5" xr3:uid="{00000000-0010-0000-0300-000005000000}" name="Column5"/>
  </tableColumns>
  <tableStyleInfo name="Unrestricted Pool 2-style 2" showFirstColumn="1" showLastColumn="1"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_5" displayName="Table_5" ref="A1" headerRowCount="0">
  <tableColumns count="1">
    <tableColumn id="1" xr3:uid="{00000000-0010-0000-0400-000001000000}" name="Column1"/>
  </tableColumns>
  <tableStyleInfo name="Small Business Pool 1-style" showFirstColumn="1" showLastColumn="1"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_6" displayName="Table_6" ref="A1" headerRowCount="0">
  <tableColumns count="1">
    <tableColumn id="1" xr3:uid="{00000000-0010-0000-0500-000001000000}" name="Column1"/>
  </tableColumns>
  <tableStyleInfo name="Small Business Pool 2-style" showFirstColumn="1" showLastColumn="1"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_7" displayName="Table_7" ref="A1" headerRowCount="0">
  <tableColumns count="1">
    <tableColumn id="1" xr3:uid="{00000000-0010-0000-0600-000001000000}" name="Column1"/>
  </tableColumns>
  <tableStyleInfo name="8(a) Pool 1-style" showFirstColumn="1" showLastColumn="1"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_8" displayName="Table_8" ref="A2:E40" headerRowCount="0">
  <tableColumns count="5">
    <tableColumn id="1" xr3:uid="{00000000-0010-0000-0700-000001000000}" name="Column1"/>
    <tableColumn id="2" xr3:uid="{00000000-0010-0000-0700-000002000000}" name="Column2"/>
    <tableColumn id="3" xr3:uid="{00000000-0010-0000-0700-000003000000}" name="Column3"/>
    <tableColumn id="4" xr3:uid="{00000000-0010-0000-0700-000004000000}" name="Column4"/>
    <tableColumn id="5" xr3:uid="{00000000-0010-0000-0700-000005000000}" name="Column5"/>
  </tableColumns>
  <tableStyleInfo name="8(a) Pool 1-style 2" showFirstColumn="1" showLastColumn="1"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e_9" displayName="Table_9" ref="A1:E1" headerRowCount="0">
  <tableColumns count="5">
    <tableColumn id="1" xr3:uid="{00000000-0010-0000-0800-000001000000}" name="Column1"/>
    <tableColumn id="2" xr3:uid="{00000000-0010-0000-0800-000002000000}" name="Column2"/>
    <tableColumn id="3" xr3:uid="{00000000-0010-0000-0800-000003000000}" name="Column3"/>
    <tableColumn id="4" xr3:uid="{00000000-0010-0000-0800-000004000000}" name="Column4"/>
    <tableColumn id="5" xr3:uid="{00000000-0010-0000-0800-000005000000}" name="Column5"/>
  </tableColumns>
  <tableStyleInfo name="8(a) Pool 2-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3" Type="http://schemas.openxmlformats.org/officeDocument/2006/relationships/hyperlink" Target="https://www.gpstrategies.com/contract-vehicles/" TargetMode="External"/><Relationship Id="rId18" Type="http://schemas.openxmlformats.org/officeDocument/2006/relationships/hyperlink" Target="https://www.keybridgeti.com/hcats/hcats_overview.html" TargetMode="External"/><Relationship Id="rId26" Type="http://schemas.openxmlformats.org/officeDocument/2006/relationships/hyperlink" Target="http://www.pitonscience.com/index.php/hcats" TargetMode="External"/><Relationship Id="rId21" Type="http://schemas.openxmlformats.org/officeDocument/2006/relationships/hyperlink" Target="https://www.magellanfederal.com/what-we-do/contract-vehicles/" TargetMode="External"/><Relationship Id="rId34" Type="http://schemas.openxmlformats.org/officeDocument/2006/relationships/hyperlink" Target="https://www.northhighland.com/hcats" TargetMode="External"/><Relationship Id="rId7" Type="http://schemas.openxmlformats.org/officeDocument/2006/relationships/hyperlink" Target="https://www.calibresys.com/partnering/contract-vehicles.shtml" TargetMode="External"/><Relationship Id="rId12" Type="http://schemas.openxmlformats.org/officeDocument/2006/relationships/hyperlink" Target="https://www.gdit.com/about-gdit/contract-vehicles/governmentwide-contracts/hcats-gdit/" TargetMode="External"/><Relationship Id="rId17" Type="http://schemas.openxmlformats.org/officeDocument/2006/relationships/hyperlink" Target="https://www.ibm.com/industries/federal/contracts/hcats" TargetMode="External"/><Relationship Id="rId25" Type="http://schemas.openxmlformats.org/officeDocument/2006/relationships/hyperlink" Target="https://pdri.com/about-pdri/contract-vehicles/" TargetMode="External"/><Relationship Id="rId33" Type="http://schemas.openxmlformats.org/officeDocument/2006/relationships/hyperlink" Target="http://www.teamcarney.com/working-with-carney/contract-vehicles/gsa-opm-hcats/" TargetMode="External"/><Relationship Id="rId2" Type="http://schemas.openxmlformats.org/officeDocument/2006/relationships/hyperlink" Target="https://www.allencorporation.com/human-capital-and-training-solutions/" TargetMode="External"/><Relationship Id="rId16" Type="http://schemas.openxmlformats.org/officeDocument/2006/relationships/hyperlink" Target="https://www.icf.com/contracts/gsa/human-capital-and-training-solutions-hcats" TargetMode="External"/><Relationship Id="rId20" Type="http://schemas.openxmlformats.org/officeDocument/2006/relationships/hyperlink" Target="https://www.lmi.org/contracts/government-wide-contract-vehicles" TargetMode="External"/><Relationship Id="rId29" Type="http://schemas.openxmlformats.org/officeDocument/2006/relationships/hyperlink" Target="https://www.saic.com/who-we-serve/contracts-and-schedules/gsa-hcats" TargetMode="External"/><Relationship Id="rId1" Type="http://schemas.openxmlformats.org/officeDocument/2006/relationships/hyperlink" Target="https://www.accenture.com/us-en/support/us-federal-government/human-capital-training-solutions" TargetMode="External"/><Relationship Id="rId6" Type="http://schemas.openxmlformats.org/officeDocument/2006/relationships/hyperlink" Target="https://www.c2ti.com/contracts/hcats-contract-solution/" TargetMode="External"/><Relationship Id="rId11" Type="http://schemas.openxmlformats.org/officeDocument/2006/relationships/hyperlink" Target="https://www.forsmarshgroup.com/about/hcats/" TargetMode="External"/><Relationship Id="rId24" Type="http://schemas.openxmlformats.org/officeDocument/2006/relationships/hyperlink" Target="https://www.panum.com/government-contracting" TargetMode="External"/><Relationship Id="rId32" Type="http://schemas.openxmlformats.org/officeDocument/2006/relationships/hyperlink" Target="https://www.gdit.com/about-gdit/contract-vehicles/governmentwide-contracts/hcats-sra/" TargetMode="External"/><Relationship Id="rId37" Type="http://schemas.openxmlformats.org/officeDocument/2006/relationships/table" Target="../tables/table2.xml"/><Relationship Id="rId5" Type="http://schemas.openxmlformats.org/officeDocument/2006/relationships/hyperlink" Target="https://www.boozallen.com/government-contract-vehicles/government-wide-macs.html" TargetMode="External"/><Relationship Id="rId15" Type="http://schemas.openxmlformats.org/officeDocument/2006/relationships/hyperlink" Target="https://tsd.huntingtoningalls.com/contracts/multiple-agency-contracts/gsa-opm-human-capital-and-training-solutions-hcats/" TargetMode="External"/><Relationship Id="rId23" Type="http://schemas.openxmlformats.org/officeDocument/2006/relationships/hyperlink" Target="https://us.nttdata.com/en/industries/public-sector/public-sector-contract-vehicles/government-wide-acquisition-contracts-gwacs/gsa-hcats" TargetMode="External"/><Relationship Id="rId28" Type="http://schemas.openxmlformats.org/officeDocument/2006/relationships/hyperlink" Target="https://rigil.com/contract-vehicles/" TargetMode="External"/><Relationship Id="rId36" Type="http://schemas.openxmlformats.org/officeDocument/2006/relationships/table" Target="../tables/table1.xml"/><Relationship Id="rId10" Type="http://schemas.openxmlformats.org/officeDocument/2006/relationships/hyperlink" Target="https://www2.deloitte.com/us/en/pages/public-sector/solutions/federal-government-contract-vehicles-gsahcats.html" TargetMode="External"/><Relationship Id="rId19" Type="http://schemas.openxmlformats.org/officeDocument/2006/relationships/hyperlink" Target="https://www.leidos.com/company/contract-vehicles" TargetMode="External"/><Relationship Id="rId31" Type="http://schemas.openxmlformats.org/officeDocument/2006/relationships/hyperlink" Target="https://sigmatech.com/contracts/hcats/" TargetMode="External"/><Relationship Id="rId4" Type="http://schemas.openxmlformats.org/officeDocument/2006/relationships/hyperlink" Target="https://www.atlasresearch.us/HCaTS" TargetMode="External"/><Relationship Id="rId9" Type="http://schemas.openxmlformats.org/officeDocument/2006/relationships/hyperlink" Target="https://www.colleagueconsulting.com/" TargetMode="External"/><Relationship Id="rId14" Type="http://schemas.openxmlformats.org/officeDocument/2006/relationships/hyperlink" Target="https://guidehouse.com/government-contract-vehicles" TargetMode="External"/><Relationship Id="rId22" Type="http://schemas.openxmlformats.org/officeDocument/2006/relationships/hyperlink" Target="https://www.managementconcepts.com/Custom-Learning-Solutions/Solutions/Work-With-Us/HCaTS" TargetMode="External"/><Relationship Id="rId27" Type="http://schemas.openxmlformats.org/officeDocument/2006/relationships/hyperlink" Target="https://www.powertrain.com/_site/hcats.aspx" TargetMode="External"/><Relationship Id="rId30" Type="http://schemas.openxmlformats.org/officeDocument/2006/relationships/hyperlink" Target="https://www.serco.com/na/contracts/human-capital-and-training-solutions-hcats" TargetMode="External"/><Relationship Id="rId35" Type="http://schemas.openxmlformats.org/officeDocument/2006/relationships/hyperlink" Target="https://www.onevaliant.com/hcats" TargetMode="External"/><Relationship Id="rId8" Type="http://schemas.openxmlformats.org/officeDocument/2006/relationships/hyperlink" Target="https://www.carleycorp.com/carley-wins-human-capital-and-training-solutions-hcats-contract/" TargetMode="External"/><Relationship Id="rId3" Type="http://schemas.openxmlformats.org/officeDocument/2006/relationships/hyperlink" Target="https://www.apprioinc.com/HCATS"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www.dsfederal.com/contract-vehicles" TargetMode="External"/><Relationship Id="rId18" Type="http://schemas.openxmlformats.org/officeDocument/2006/relationships/hyperlink" Target="https://www.gdit.com/about-gdit/contract-vehicles/governmentwide-contracts/hcats-gdit/" TargetMode="External"/><Relationship Id="rId26" Type="http://schemas.openxmlformats.org/officeDocument/2006/relationships/hyperlink" Target="https://www.lmi.org/contracts/government-wide-contract-vehicles" TargetMode="External"/><Relationship Id="rId39" Type="http://schemas.openxmlformats.org/officeDocument/2006/relationships/hyperlink" Target="https://www.gdit.com/about-gdit/contract-vehicles/governmentwide-contracts/hcats-sra/" TargetMode="External"/><Relationship Id="rId21" Type="http://schemas.openxmlformats.org/officeDocument/2006/relationships/hyperlink" Target="https://tsd.huntingtoningalls.com/contracts/multiple-agency-contracts/gsa-opm-human-capital-and-training-solutions-hcats/" TargetMode="External"/><Relationship Id="rId34" Type="http://schemas.openxmlformats.org/officeDocument/2006/relationships/hyperlink" Target="https://www.powertrain.com/_site/hcats.aspx" TargetMode="External"/><Relationship Id="rId42" Type="http://schemas.openxmlformats.org/officeDocument/2006/relationships/hyperlink" Target="https://center4oe.com/contract-vehicles/" TargetMode="External"/><Relationship Id="rId47" Type="http://schemas.openxmlformats.org/officeDocument/2006/relationships/table" Target="../tables/table3.xml"/><Relationship Id="rId7" Type="http://schemas.openxmlformats.org/officeDocument/2006/relationships/hyperlink" Target="https://www.boozallen.com/government-contract-vehicles/government-wide-macs.html" TargetMode="External"/><Relationship Id="rId2" Type="http://schemas.openxmlformats.org/officeDocument/2006/relationships/hyperlink" Target="https://www.air.org/human-capital-and-training-solutions-hcats" TargetMode="External"/><Relationship Id="rId16" Type="http://schemas.openxmlformats.org/officeDocument/2006/relationships/hyperlink" Target="https://www.forsmarshgroup.com/about/hcats/" TargetMode="External"/><Relationship Id="rId29" Type="http://schemas.openxmlformats.org/officeDocument/2006/relationships/hyperlink" Target="http://msag.net/hcats/" TargetMode="External"/><Relationship Id="rId1" Type="http://schemas.openxmlformats.org/officeDocument/2006/relationships/hyperlink" Target="https://www.accenture.com/us-en/support/us-federal-government/human-capital-training-solutions" TargetMode="External"/><Relationship Id="rId6" Type="http://schemas.openxmlformats.org/officeDocument/2006/relationships/hyperlink" Target="https://barbaricum.com/hcats/" TargetMode="External"/><Relationship Id="rId11" Type="http://schemas.openxmlformats.org/officeDocument/2006/relationships/hyperlink" Target="https://cherokee-federal.com/about/cherokee-nation-management-and-consulting" TargetMode="External"/><Relationship Id="rId24" Type="http://schemas.openxmlformats.org/officeDocument/2006/relationships/hyperlink" Target="https://www.ibm.com/industries/federal/contracts/hcats" TargetMode="External"/><Relationship Id="rId32" Type="http://schemas.openxmlformats.org/officeDocument/2006/relationships/hyperlink" Target="https://pdri.com/about-pdri/contract-vehicles/" TargetMode="External"/><Relationship Id="rId37" Type="http://schemas.openxmlformats.org/officeDocument/2006/relationships/hyperlink" Target="https://www.serco.com/na/contracts/human-capital-and-training-solutions-hcats" TargetMode="External"/><Relationship Id="rId40" Type="http://schemas.openxmlformats.org/officeDocument/2006/relationships/hyperlink" Target="https://www.suntiva.com/contracts/hcats/" TargetMode="External"/><Relationship Id="rId45" Type="http://schemas.openxmlformats.org/officeDocument/2006/relationships/hyperlink" Target="https://wheelhousegroup.com/human-capital-and-training-solutions-hcats-small-business-sb/" TargetMode="External"/><Relationship Id="rId5" Type="http://schemas.openxmlformats.org/officeDocument/2006/relationships/hyperlink" Target="https://www.atlasresearch.us/HCaTS" TargetMode="External"/><Relationship Id="rId15" Type="http://schemas.openxmlformats.org/officeDocument/2006/relationships/hyperlink" Target="https://www.eaglehillconsulting.com/news/eagle-hill-wins-gsa-opm-human-capital-training-solutions-hcats-small-business-contract/" TargetMode="External"/><Relationship Id="rId23" Type="http://schemas.openxmlformats.org/officeDocument/2006/relationships/hyperlink" Target="https://www.icf.com/contracts/gsa/human-capital-and-training-solutions-hcats" TargetMode="External"/><Relationship Id="rId28" Type="http://schemas.openxmlformats.org/officeDocument/2006/relationships/hyperlink" Target="https://www.managementconcepts.com/Custom-Learning-Solutions/Solutions/Work-With-Us/HCaTS" TargetMode="External"/><Relationship Id="rId36" Type="http://schemas.openxmlformats.org/officeDocument/2006/relationships/hyperlink" Target="https://www.saic.com/who-we-serve/contracts-and-schedules/gsa-hcats" TargetMode="External"/><Relationship Id="rId10" Type="http://schemas.openxmlformats.org/officeDocument/2006/relationships/hyperlink" Target="https://www.xceleratesolutions.com/about/contracts/gsa-human-capital-and-training-solutions-hcats/" TargetMode="External"/><Relationship Id="rId19" Type="http://schemas.openxmlformats.org/officeDocument/2006/relationships/hyperlink" Target="https://www.gkg-hcats.com/" TargetMode="External"/><Relationship Id="rId31" Type="http://schemas.openxmlformats.org/officeDocument/2006/relationships/hyperlink" Target="https://www.panum.com/government-contracting" TargetMode="External"/><Relationship Id="rId44" Type="http://schemas.openxmlformats.org/officeDocument/2006/relationships/hyperlink" Target="https://www.onevaliant.com/hcats" TargetMode="External"/><Relationship Id="rId4" Type="http://schemas.openxmlformats.org/officeDocument/2006/relationships/hyperlink" Target="https://www.apprioinc.com/HCATS" TargetMode="External"/><Relationship Id="rId9" Type="http://schemas.openxmlformats.org/officeDocument/2006/relationships/hyperlink" Target="https://www.calibresys.com/partnering/contract-vehicles.shtml" TargetMode="External"/><Relationship Id="rId14" Type="http://schemas.openxmlformats.org/officeDocument/2006/relationships/hyperlink" Target="https://www.dynamis.com/contract-vehicles/hcats/" TargetMode="External"/><Relationship Id="rId22" Type="http://schemas.openxmlformats.org/officeDocument/2006/relationships/hyperlink" Target="https://www.humrro.org/corpsite/contract-vehicles/human-capital-and-training-solutions-hcats/" TargetMode="External"/><Relationship Id="rId27" Type="http://schemas.openxmlformats.org/officeDocument/2006/relationships/hyperlink" Target="https://www.magellanfederal.com/what-we-do/contract-vehicles/" TargetMode="External"/><Relationship Id="rId30" Type="http://schemas.openxmlformats.org/officeDocument/2006/relationships/hyperlink" Target="https://www.monstergovernmentsolutions.com/connect/contract-vehicles-working-with-us/human-capital-and-training-solution-hcats-contract" TargetMode="External"/><Relationship Id="rId35" Type="http://schemas.openxmlformats.org/officeDocument/2006/relationships/hyperlink" Target="https://rigil.com/contract-vehicles/" TargetMode="External"/><Relationship Id="rId43" Type="http://schemas.openxmlformats.org/officeDocument/2006/relationships/hyperlink" Target="https://www.northhighland.com/hcats" TargetMode="External"/><Relationship Id="rId48" Type="http://schemas.openxmlformats.org/officeDocument/2006/relationships/table" Target="../tables/table4.xml"/><Relationship Id="rId8" Type="http://schemas.openxmlformats.org/officeDocument/2006/relationships/hyperlink" Target="https://www.c2ti.com/contracts/hcats-contract-solution/" TargetMode="External"/><Relationship Id="rId3" Type="http://schemas.openxmlformats.org/officeDocument/2006/relationships/hyperlink" Target="https://www.americansystems.com/gsa-contracts" TargetMode="External"/><Relationship Id="rId12" Type="http://schemas.openxmlformats.org/officeDocument/2006/relationships/hyperlink" Target="https://www2.deloitte.com/us/en/pages/public-sector/solutions/federal-government-contract-vehicles-gsahcats.html" TargetMode="External"/><Relationship Id="rId17" Type="http://schemas.openxmlformats.org/officeDocument/2006/relationships/hyperlink" Target="https://www.gapsi.com/company/contracts/" TargetMode="External"/><Relationship Id="rId25" Type="http://schemas.openxmlformats.org/officeDocument/2006/relationships/hyperlink" Target="https://www.leidos.com/company/contract-vehicles" TargetMode="External"/><Relationship Id="rId33" Type="http://schemas.openxmlformats.org/officeDocument/2006/relationships/hyperlink" Target="http://www.pitonscience.com/index.php/hcats" TargetMode="External"/><Relationship Id="rId38" Type="http://schemas.openxmlformats.org/officeDocument/2006/relationships/hyperlink" Target="https://sigmatech.com/contracts/hcats/" TargetMode="External"/><Relationship Id="rId46" Type="http://schemas.openxmlformats.org/officeDocument/2006/relationships/hyperlink" Target="https://yrci.com/hcats/" TargetMode="External"/><Relationship Id="rId20" Type="http://schemas.openxmlformats.org/officeDocument/2006/relationships/hyperlink" Target="https://guidehouse.com/government-contract-vehicles" TargetMode="External"/><Relationship Id="rId41" Type="http://schemas.openxmlformats.org/officeDocument/2006/relationships/hyperlink" Target="http://www.teamcarney.com/working-with-carney/contract-vehicles/gsa-opm-hcats/"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ciinternational.com/human-capital-and-training-solutions-hcats/" TargetMode="External"/><Relationship Id="rId13" Type="http://schemas.openxmlformats.org/officeDocument/2006/relationships/hyperlink" Target="https://www.e-paga.com/hcats-sb/" TargetMode="External"/><Relationship Id="rId18" Type="http://schemas.openxmlformats.org/officeDocument/2006/relationships/hyperlink" Target="http://www.ideationinc.com/2019/08/ideation-inc-awarded-gsa-small-business-contract-for-human-capital-and-training-solutions/" TargetMode="External"/><Relationship Id="rId26" Type="http://schemas.openxmlformats.org/officeDocument/2006/relationships/hyperlink" Target="http://www.whitespaceinnovations.com/workforce-innovations-human-capital-and-training-solutions/" TargetMode="External"/><Relationship Id="rId3" Type="http://schemas.openxmlformats.org/officeDocument/2006/relationships/hyperlink" Target="https://www.aestrategies.com/hcats" TargetMode="External"/><Relationship Id="rId21" Type="http://schemas.openxmlformats.org/officeDocument/2006/relationships/hyperlink" Target="http://www.pherson.org/hcats/" TargetMode="External"/><Relationship Id="rId7" Type="http://schemas.openxmlformats.org/officeDocument/2006/relationships/hyperlink" Target="https://www.colleagueconsulting.com/" TargetMode="External"/><Relationship Id="rId12" Type="http://schemas.openxmlformats.org/officeDocument/2006/relationships/hyperlink" Target="http://www.delanhq.com/hcats/" TargetMode="External"/><Relationship Id="rId17" Type="http://schemas.openxmlformats.org/officeDocument/2006/relationships/hyperlink" Target="https://gothamgovernment.com/contracts/hcats/" TargetMode="External"/><Relationship Id="rId25" Type="http://schemas.openxmlformats.org/officeDocument/2006/relationships/hyperlink" Target="https://reedintegration.com/hcats/" TargetMode="External"/><Relationship Id="rId2" Type="http://schemas.openxmlformats.org/officeDocument/2006/relationships/hyperlink" Target="http://www.adstm.com/contract-vehicles" TargetMode="External"/><Relationship Id="rId16" Type="http://schemas.openxmlformats.org/officeDocument/2006/relationships/hyperlink" Target="https://www.fullvisibility.com/hcats-contract-page" TargetMode="External"/><Relationship Id="rId20" Type="http://schemas.openxmlformats.org/officeDocument/2006/relationships/hyperlink" Target="https://lsidc.com/wp-content/uploads/2020/09/HCaTS_METCOR_LSI.pdf" TargetMode="External"/><Relationship Id="rId29" Type="http://schemas.openxmlformats.org/officeDocument/2006/relationships/hyperlink" Target="https://www.agilegroupusa.com/hcats/" TargetMode="External"/><Relationship Id="rId1" Type="http://schemas.openxmlformats.org/officeDocument/2006/relationships/hyperlink" Target="https://www.apvit.com/ContractVehicles/hcats" TargetMode="External"/><Relationship Id="rId6" Type="http://schemas.openxmlformats.org/officeDocument/2006/relationships/hyperlink" Target="https://www.chitraproductions.com/hcats-sb" TargetMode="External"/><Relationship Id="rId11" Type="http://schemas.openxmlformats.org/officeDocument/2006/relationships/hyperlink" Target="https://deepmile.com/hcatssb/" TargetMode="External"/><Relationship Id="rId24" Type="http://schemas.openxmlformats.org/officeDocument/2006/relationships/hyperlink" Target="https://www.r3consulting.com/human-capital-and-training-solutions-overview/" TargetMode="External"/><Relationship Id="rId5" Type="http://schemas.openxmlformats.org/officeDocument/2006/relationships/hyperlink" Target="https://www.avantgarde4usa.com/hcats-8a-pool-1/" TargetMode="External"/><Relationship Id="rId15" Type="http://schemas.openxmlformats.org/officeDocument/2006/relationships/hyperlink" Target="https://thefullcirclegroup.com/consulting-government-services/government-vehicles/" TargetMode="External"/><Relationship Id="rId23" Type="http://schemas.openxmlformats.org/officeDocument/2006/relationships/hyperlink" Target="https://pfs.us/about/contract-vehicles/gsa-hcats/" TargetMode="External"/><Relationship Id="rId28" Type="http://schemas.openxmlformats.org/officeDocument/2006/relationships/hyperlink" Target="http://www.teamcarney.com/working-with-carney/contract-vehicles/gsa-opm-hcats/" TargetMode="External"/><Relationship Id="rId10" Type="http://schemas.openxmlformats.org/officeDocument/2006/relationships/hyperlink" Target="https://dmsinetwork.com/hcats/" TargetMode="External"/><Relationship Id="rId19" Type="http://schemas.openxmlformats.org/officeDocument/2006/relationships/hyperlink" Target="https://linkvisum.com/contract-vehicles/" TargetMode="External"/><Relationship Id="rId31" Type="http://schemas.openxmlformats.org/officeDocument/2006/relationships/table" Target="../tables/table5.xml"/><Relationship Id="rId4" Type="http://schemas.openxmlformats.org/officeDocument/2006/relationships/hyperlink" Target="https://forwardmomentum.net/" TargetMode="External"/><Relationship Id="rId9" Type="http://schemas.openxmlformats.org/officeDocument/2006/relationships/hyperlink" Target="https://www.ctrmg.com/contract-vehicles/" TargetMode="External"/><Relationship Id="rId14" Type="http://schemas.openxmlformats.org/officeDocument/2006/relationships/hyperlink" Target="https://www.engagingtraining.com/human-capital-and-training-solutions/" TargetMode="External"/><Relationship Id="rId22" Type="http://schemas.openxmlformats.org/officeDocument/2006/relationships/hyperlink" Target="http://www.pitonscience.com/index.php/hcats" TargetMode="External"/><Relationship Id="rId27" Type="http://schemas.openxmlformats.org/officeDocument/2006/relationships/hyperlink" Target="https://www.tadegroup.com/contracts/hcats/" TargetMode="External"/><Relationship Id="rId30" Type="http://schemas.openxmlformats.org/officeDocument/2006/relationships/hyperlink" Target="https://arbinger.com/government.html"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deepmile.com/hcatssb/" TargetMode="External"/><Relationship Id="rId13" Type="http://schemas.openxmlformats.org/officeDocument/2006/relationships/hyperlink" Target="https://www.jeffersonsolutions.net/hcats/" TargetMode="External"/><Relationship Id="rId18" Type="http://schemas.openxmlformats.org/officeDocument/2006/relationships/hyperlink" Target="https://linkvisum.com/contract-vehicles/" TargetMode="External"/><Relationship Id="rId26" Type="http://schemas.openxmlformats.org/officeDocument/2006/relationships/hyperlink" Target="https://www.pqcworks.com/contracts" TargetMode="External"/><Relationship Id="rId3" Type="http://schemas.openxmlformats.org/officeDocument/2006/relationships/hyperlink" Target="https://www.aestrategies.com/hcats" TargetMode="External"/><Relationship Id="rId21" Type="http://schemas.openxmlformats.org/officeDocument/2006/relationships/hyperlink" Target="https://oban-corp.com/hcats/" TargetMode="External"/><Relationship Id="rId7" Type="http://schemas.openxmlformats.org/officeDocument/2006/relationships/hyperlink" Target="https://cherokee-federal.com/contract-vehicles" TargetMode="External"/><Relationship Id="rId12" Type="http://schemas.openxmlformats.org/officeDocument/2006/relationships/hyperlink" Target="https://www.higherechelon.com/who-we-serve/human-capital-and-training-solutions-hcats-small-business-pool-1/" TargetMode="External"/><Relationship Id="rId17" Type="http://schemas.openxmlformats.org/officeDocument/2006/relationships/hyperlink" Target="https://knowledgebank.us.com/contract-vehicles-human-capital/" TargetMode="External"/><Relationship Id="rId25" Type="http://schemas.openxmlformats.org/officeDocument/2006/relationships/hyperlink" Target="http://www.pitonscience.com/index.php/hcats" TargetMode="External"/><Relationship Id="rId2" Type="http://schemas.openxmlformats.org/officeDocument/2006/relationships/hyperlink" Target="http://www.goaclc.com/hcats/" TargetMode="External"/><Relationship Id="rId16" Type="http://schemas.openxmlformats.org/officeDocument/2006/relationships/hyperlink" Target="https://www.keybridgeti.com/hcats/hcats_overview.html" TargetMode="External"/><Relationship Id="rId20" Type="http://schemas.openxmlformats.org/officeDocument/2006/relationships/hyperlink" Target="https://tmgi.net/government/" TargetMode="External"/><Relationship Id="rId29" Type="http://schemas.openxmlformats.org/officeDocument/2006/relationships/hyperlink" Target="https://teamconsult.com/procurements-options/human-capital-training-solutions/" TargetMode="External"/><Relationship Id="rId1" Type="http://schemas.openxmlformats.org/officeDocument/2006/relationships/hyperlink" Target="https://www.apvit.com/ContractVehicles/hcats" TargetMode="External"/><Relationship Id="rId6" Type="http://schemas.openxmlformats.org/officeDocument/2006/relationships/hyperlink" Target="https://www.censeoconsulting.com/human-capital-and-training-solutions-hcats/" TargetMode="External"/><Relationship Id="rId11" Type="http://schemas.openxmlformats.org/officeDocument/2006/relationships/hyperlink" Target="http://www.fyinfo.com/" TargetMode="External"/><Relationship Id="rId24" Type="http://schemas.openxmlformats.org/officeDocument/2006/relationships/hyperlink" Target="https://www.tppsolutions.com/hcats" TargetMode="External"/><Relationship Id="rId5" Type="http://schemas.openxmlformats.org/officeDocument/2006/relationships/hyperlink" Target="https://www.mckinleygroup.net/hcats/" TargetMode="External"/><Relationship Id="rId15" Type="http://schemas.openxmlformats.org/officeDocument/2006/relationships/hyperlink" Target="https://hcatssb.jrcllc.com/" TargetMode="External"/><Relationship Id="rId23" Type="http://schemas.openxmlformats.org/officeDocument/2006/relationships/hyperlink" Target="https://parkertide.com/hcats/" TargetMode="External"/><Relationship Id="rId28" Type="http://schemas.openxmlformats.org/officeDocument/2006/relationships/hyperlink" Target="https://www.triplecyber.com/" TargetMode="External"/><Relationship Id="rId10" Type="http://schemas.openxmlformats.org/officeDocument/2006/relationships/hyperlink" Target="https://www.e-paga.com/hcats-sb/" TargetMode="External"/><Relationship Id="rId19" Type="http://schemas.openxmlformats.org/officeDocument/2006/relationships/hyperlink" Target="https://www.mscginc.com/clients_HCaTs.htm" TargetMode="External"/><Relationship Id="rId31" Type="http://schemas.openxmlformats.org/officeDocument/2006/relationships/table" Target="../tables/table6.xml"/><Relationship Id="rId4" Type="http://schemas.openxmlformats.org/officeDocument/2006/relationships/hyperlink" Target="https://www.arcaspicio.com/contract-vehicles" TargetMode="External"/><Relationship Id="rId9" Type="http://schemas.openxmlformats.org/officeDocument/2006/relationships/hyperlink" Target="https://www.dutyfirst.com/services/contract-vehicles/" TargetMode="External"/><Relationship Id="rId14" Type="http://schemas.openxmlformats.org/officeDocument/2006/relationships/hyperlink" Target="https://www.jps-usa.com/home.html" TargetMode="External"/><Relationship Id="rId22" Type="http://schemas.openxmlformats.org/officeDocument/2006/relationships/hyperlink" Target="https://pal-tech.com/contracts/hcats/" TargetMode="External"/><Relationship Id="rId27" Type="http://schemas.openxmlformats.org/officeDocument/2006/relationships/hyperlink" Target="https://www.r3consulting.com/human-capital-and-training-solutions-overview/" TargetMode="External"/><Relationship Id="rId30" Type="http://schemas.openxmlformats.org/officeDocument/2006/relationships/hyperlink" Target="https://center4oe.com/contract-vehicle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tppsolutions.com/hcats" TargetMode="External"/><Relationship Id="rId13" Type="http://schemas.openxmlformats.org/officeDocument/2006/relationships/hyperlink" Target="https://www.shadowboxllc.com/contract-vehicle/" TargetMode="External"/><Relationship Id="rId18" Type="http://schemas.openxmlformats.org/officeDocument/2006/relationships/table" Target="../tables/table7.xml"/><Relationship Id="rId3" Type="http://schemas.openxmlformats.org/officeDocument/2006/relationships/hyperlink" Target="https://www.avantgarde4usa.com/hcats-8a-pool-1/" TargetMode="External"/><Relationship Id="rId7" Type="http://schemas.openxmlformats.org/officeDocument/2006/relationships/hyperlink" Target="https://ortiz-group.com/hcats/" TargetMode="External"/><Relationship Id="rId12" Type="http://schemas.openxmlformats.org/officeDocument/2006/relationships/hyperlink" Target="https://rainmakerssolutions.com/hcats" TargetMode="External"/><Relationship Id="rId17" Type="http://schemas.openxmlformats.org/officeDocument/2006/relationships/hyperlink" Target="http://www.whitespaceinnovations.com/workforce-innovations-human-capital-and-training-solutions/" TargetMode="External"/><Relationship Id="rId2" Type="http://schemas.openxmlformats.org/officeDocument/2006/relationships/hyperlink" Target="http://www.goaclc.com/hcats/" TargetMode="External"/><Relationship Id="rId16" Type="http://schemas.openxmlformats.org/officeDocument/2006/relationships/hyperlink" Target="https://www.vs4s.com/" TargetMode="External"/><Relationship Id="rId1" Type="http://schemas.openxmlformats.org/officeDocument/2006/relationships/hyperlink" Target="https://www.apvit.com/ContractVehicles/hcats" TargetMode="External"/><Relationship Id="rId6" Type="http://schemas.openxmlformats.org/officeDocument/2006/relationships/hyperlink" Target="https://jstcorp.com/contract-vehicles/hcats-8a-contract-vehicle/" TargetMode="External"/><Relationship Id="rId11" Type="http://schemas.openxmlformats.org/officeDocument/2006/relationships/hyperlink" Target="https://radiansolutionsllc.com/contract-vehicles/" TargetMode="External"/><Relationship Id="rId5" Type="http://schemas.openxmlformats.org/officeDocument/2006/relationships/hyperlink" Target="https://www.eaglehillconsulting.com/news/eagle-hill-wins-gsa-opm-human-capital-training-solutions-hcats-small-business-contract/" TargetMode="External"/><Relationship Id="rId15" Type="http://schemas.openxmlformats.org/officeDocument/2006/relationships/hyperlink" Target="https://www.tippingpointcorp.net/hcats.html" TargetMode="External"/><Relationship Id="rId10" Type="http://schemas.openxmlformats.org/officeDocument/2006/relationships/hyperlink" Target="https://ptg-intl.com/contract-vehicles/" TargetMode="External"/><Relationship Id="rId19" Type="http://schemas.openxmlformats.org/officeDocument/2006/relationships/table" Target="../tables/table8.xml"/><Relationship Id="rId4" Type="http://schemas.openxmlformats.org/officeDocument/2006/relationships/hyperlink" Target="https://bloomsburie.com/hcats.html" TargetMode="External"/><Relationship Id="rId9" Type="http://schemas.openxmlformats.org/officeDocument/2006/relationships/hyperlink" Target="http://www.precisefederal.com/contractvehicles.html" TargetMode="External"/><Relationship Id="rId14" Type="http://schemas.openxmlformats.org/officeDocument/2006/relationships/hyperlink" Target="https://sgc23llc.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dynapnr.com/hcats-1" TargetMode="External"/><Relationship Id="rId13" Type="http://schemas.openxmlformats.org/officeDocument/2006/relationships/hyperlink" Target="https://ortiz-group.com/hcats/" TargetMode="External"/><Relationship Id="rId18" Type="http://schemas.openxmlformats.org/officeDocument/2006/relationships/hyperlink" Target="https://rainmakerssolutions.com/hcats" TargetMode="External"/><Relationship Id="rId26" Type="http://schemas.openxmlformats.org/officeDocument/2006/relationships/hyperlink" Target="https://wwcglobal.com/about/contract-vehicles/hcats/" TargetMode="External"/><Relationship Id="rId3" Type="http://schemas.openxmlformats.org/officeDocument/2006/relationships/hyperlink" Target="https://www.capefoxfcg.com/subsidiaries/hcats8a_cffs.shtml" TargetMode="External"/><Relationship Id="rId21" Type="http://schemas.openxmlformats.org/officeDocument/2006/relationships/hyperlink" Target="http://www.spatialfront.com/pages/8aStars.html" TargetMode="External"/><Relationship Id="rId7" Type="http://schemas.openxmlformats.org/officeDocument/2006/relationships/hyperlink" Target="https://credencedynamosolutions.com/?page_id=73" TargetMode="External"/><Relationship Id="rId12" Type="http://schemas.openxmlformats.org/officeDocument/2006/relationships/hyperlink" Target="https://oban-corp.com/hcats/" TargetMode="External"/><Relationship Id="rId17" Type="http://schemas.openxmlformats.org/officeDocument/2006/relationships/hyperlink" Target="https://radiansolutionsllc.com/contract-vehicles/" TargetMode="External"/><Relationship Id="rId25" Type="http://schemas.openxmlformats.org/officeDocument/2006/relationships/hyperlink" Target="http://www.whitespaceinnovations.com/workforce-innovations-human-capital-and-training-solutions/" TargetMode="External"/><Relationship Id="rId2" Type="http://schemas.openxmlformats.org/officeDocument/2006/relationships/hyperlink" Target="http://www.goaclc.com/hcats/" TargetMode="External"/><Relationship Id="rId16" Type="http://schemas.openxmlformats.org/officeDocument/2006/relationships/hyperlink" Target="https://ptg-intl.com/contract-vehicles/" TargetMode="External"/><Relationship Id="rId20" Type="http://schemas.openxmlformats.org/officeDocument/2006/relationships/hyperlink" Target="https://www.triplecyber.com/" TargetMode="External"/><Relationship Id="rId1" Type="http://schemas.openxmlformats.org/officeDocument/2006/relationships/hyperlink" Target="https://www.apvit.com/ContractVehicles/hcats" TargetMode="External"/><Relationship Id="rId6" Type="http://schemas.openxmlformats.org/officeDocument/2006/relationships/hyperlink" Target="https://www.bestica.com/hcats.html" TargetMode="External"/><Relationship Id="rId11" Type="http://schemas.openxmlformats.org/officeDocument/2006/relationships/hyperlink" Target="https://www.kaptivategroup.com/hcats-8a-pool2" TargetMode="External"/><Relationship Id="rId24" Type="http://schemas.openxmlformats.org/officeDocument/2006/relationships/hyperlink" Target="http://www.witssolutions.com/contract-vehicles/hcats-8a-pool-2/" TargetMode="External"/><Relationship Id="rId5" Type="http://schemas.openxmlformats.org/officeDocument/2006/relationships/hyperlink" Target="https://chickasawfederal.com/chickasawaerospace" TargetMode="External"/><Relationship Id="rId15" Type="http://schemas.openxmlformats.org/officeDocument/2006/relationships/hyperlink" Target="http://www.precisefederal.com/contractvehicles.html" TargetMode="External"/><Relationship Id="rId23" Type="http://schemas.openxmlformats.org/officeDocument/2006/relationships/hyperlink" Target="https://www.broadleaf-inc.com/contract-vehicles/" TargetMode="External"/><Relationship Id="rId28" Type="http://schemas.openxmlformats.org/officeDocument/2006/relationships/table" Target="../tables/table10.xml"/><Relationship Id="rId10" Type="http://schemas.openxmlformats.org/officeDocument/2006/relationships/hyperlink" Target="https://www.useitc.com/contract_vehicles/hcats/" TargetMode="External"/><Relationship Id="rId19" Type="http://schemas.openxmlformats.org/officeDocument/2006/relationships/hyperlink" Target="https://rbmanagementconsultants.com/rbmc-hcats/" TargetMode="External"/><Relationship Id="rId4" Type="http://schemas.openxmlformats.org/officeDocument/2006/relationships/hyperlink" Target="https://changeis.com/hcats/" TargetMode="External"/><Relationship Id="rId9" Type="http://schemas.openxmlformats.org/officeDocument/2006/relationships/hyperlink" Target="https://www.insigniafederal.com/contractvehicles.html" TargetMode="External"/><Relationship Id="rId14" Type="http://schemas.openxmlformats.org/officeDocument/2006/relationships/hyperlink" Target="https://www.potawatomitr.com/hcats" TargetMode="External"/><Relationship Id="rId22" Type="http://schemas.openxmlformats.org/officeDocument/2006/relationships/hyperlink" Target="https://www.fedwriters.com/contract-vehicles/hcats/" TargetMode="External"/><Relationship Id="rId27"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2D69B"/>
    <pageSetUpPr fitToPage="1"/>
  </sheetPr>
  <dimension ref="A1:Z998"/>
  <sheetViews>
    <sheetView workbookViewId="0">
      <selection sqref="A1:C1"/>
    </sheetView>
  </sheetViews>
  <sheetFormatPr defaultColWidth="11.25" defaultRowHeight="15" customHeight="1" x14ac:dyDescent="0.35"/>
  <cols>
    <col min="1" max="1" width="37.08203125" customWidth="1"/>
    <col min="2" max="2" width="50" customWidth="1"/>
    <col min="3" max="3" width="53" customWidth="1"/>
    <col min="4" max="26" width="5.25" customWidth="1"/>
  </cols>
  <sheetData>
    <row r="1" spans="1:26" ht="93.75" customHeight="1" x14ac:dyDescent="0.35">
      <c r="A1" s="72" t="s">
        <v>0</v>
      </c>
      <c r="B1" s="73"/>
      <c r="C1" s="74"/>
      <c r="D1" s="1"/>
      <c r="E1" s="1"/>
      <c r="F1" s="1"/>
      <c r="G1" s="1"/>
      <c r="H1" s="1"/>
      <c r="I1" s="1"/>
      <c r="J1" s="1"/>
      <c r="K1" s="1"/>
      <c r="L1" s="1"/>
      <c r="M1" s="1"/>
      <c r="N1" s="1"/>
      <c r="O1" s="1"/>
      <c r="P1" s="1"/>
      <c r="Q1" s="1"/>
      <c r="R1" s="1"/>
      <c r="S1" s="1"/>
      <c r="T1" s="1"/>
      <c r="U1" s="1"/>
      <c r="V1" s="1"/>
      <c r="W1" s="1"/>
      <c r="X1" s="1"/>
      <c r="Y1" s="1"/>
      <c r="Z1" s="1"/>
    </row>
    <row r="2" spans="1:26" ht="163.5" customHeight="1" x14ac:dyDescent="0.35">
      <c r="A2" s="75" t="s">
        <v>1</v>
      </c>
      <c r="B2" s="76"/>
      <c r="C2" s="77"/>
    </row>
    <row r="3" spans="1:26" ht="55.5" customHeight="1" x14ac:dyDescent="0.35">
      <c r="A3" s="2" t="s">
        <v>2</v>
      </c>
      <c r="B3" s="3" t="s">
        <v>3</v>
      </c>
      <c r="C3" s="4" t="s">
        <v>4</v>
      </c>
      <c r="D3" s="5"/>
    </row>
    <row r="4" spans="1:26" ht="43.5" customHeight="1" x14ac:dyDescent="0.35">
      <c r="A4" s="6" t="s">
        <v>5</v>
      </c>
      <c r="B4" s="7" t="s">
        <v>6</v>
      </c>
      <c r="C4" s="8" t="s">
        <v>7</v>
      </c>
    </row>
    <row r="5" spans="1:26" ht="43.5" customHeight="1" x14ac:dyDescent="0.35">
      <c r="A5" s="6" t="s">
        <v>8</v>
      </c>
      <c r="B5" s="9" t="s">
        <v>9</v>
      </c>
      <c r="C5" s="8" t="s">
        <v>10</v>
      </c>
    </row>
    <row r="6" spans="1:26" ht="43.5" customHeight="1" x14ac:dyDescent="0.35">
      <c r="A6" s="10" t="s">
        <v>11</v>
      </c>
      <c r="B6" s="9" t="s">
        <v>12</v>
      </c>
      <c r="C6" s="8" t="s">
        <v>13</v>
      </c>
    </row>
    <row r="7" spans="1:26" ht="129.5" customHeight="1" x14ac:dyDescent="0.35">
      <c r="A7" s="78" t="s">
        <v>14</v>
      </c>
      <c r="B7" s="79"/>
      <c r="C7" s="80"/>
    </row>
    <row r="8" spans="1:26" ht="16.5" customHeight="1" x14ac:dyDescent="0.35"/>
    <row r="9" spans="1:26" ht="15.5" x14ac:dyDescent="0.35"/>
    <row r="10" spans="1:26" ht="15.5" x14ac:dyDescent="0.35"/>
    <row r="11" spans="1:26" ht="15.5" x14ac:dyDescent="0.35"/>
    <row r="12" spans="1:26" ht="15.5" x14ac:dyDescent="0.35"/>
    <row r="13" spans="1:26" ht="15.5" x14ac:dyDescent="0.35"/>
    <row r="14" spans="1:26" ht="15.5" x14ac:dyDescent="0.35"/>
    <row r="15" spans="1:26" ht="15.5" x14ac:dyDescent="0.35"/>
    <row r="16" spans="1:26" ht="15.5" x14ac:dyDescent="0.35"/>
    <row r="19" ht="15.75" customHeight="1" x14ac:dyDescent="0.35"/>
    <row r="20" ht="15.75" customHeight="1" x14ac:dyDescent="0.35"/>
    <row r="21" ht="15.75" customHeight="1" x14ac:dyDescent="0.35"/>
    <row r="22" ht="15.75" customHeight="1" x14ac:dyDescent="0.35"/>
    <row r="23" ht="15.75" customHeight="1" x14ac:dyDescent="0.35"/>
    <row r="24" ht="15.75" customHeight="1" x14ac:dyDescent="0.35"/>
    <row r="25" ht="15.75" customHeight="1" x14ac:dyDescent="0.35"/>
    <row r="26" ht="15.75" customHeight="1" x14ac:dyDescent="0.35"/>
    <row r="27" ht="15.75" customHeight="1" x14ac:dyDescent="0.35"/>
    <row r="28" ht="15.75" customHeight="1" x14ac:dyDescent="0.35"/>
    <row r="29" ht="15.75" customHeight="1" x14ac:dyDescent="0.35"/>
    <row r="30" ht="15.75" customHeight="1" x14ac:dyDescent="0.35"/>
    <row r="31" ht="15.75" customHeight="1" x14ac:dyDescent="0.35"/>
    <row r="32"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sheetData>
  <mergeCells count="3">
    <mergeCell ref="A1:C1"/>
    <mergeCell ref="A2:C2"/>
    <mergeCell ref="A7:C7"/>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36C09"/>
  </sheetPr>
  <dimension ref="A1:E40"/>
  <sheetViews>
    <sheetView workbookViewId="0">
      <pane xSplit="2" ySplit="2" topLeftCell="C3" activePane="bottomRight" state="frozen"/>
      <selection pane="topRight" activeCell="C1" sqref="C1"/>
      <selection pane="bottomLeft" activeCell="A3" sqref="A3"/>
      <selection pane="bottomRight" activeCell="E39" sqref="E39"/>
    </sheetView>
  </sheetViews>
  <sheetFormatPr defaultColWidth="11.25" defaultRowHeight="42" customHeight="1" x14ac:dyDescent="0.35"/>
  <cols>
    <col min="1" max="1" width="14.75" customWidth="1"/>
    <col min="2" max="2" width="30.6640625" customWidth="1"/>
    <col min="3" max="3" width="13.08203125" customWidth="1"/>
    <col min="4" max="4" width="27.9140625" customWidth="1"/>
    <col min="5" max="5" width="60.6640625" customWidth="1"/>
  </cols>
  <sheetData>
    <row r="1" spans="1:5" ht="42" customHeight="1" x14ac:dyDescent="0.35">
      <c r="A1" s="11" t="s">
        <v>15</v>
      </c>
      <c r="B1" s="12"/>
      <c r="C1" s="13"/>
      <c r="D1" s="12"/>
      <c r="E1" s="12"/>
    </row>
    <row r="2" spans="1:5" ht="70.5" customHeight="1" x14ac:dyDescent="0.35">
      <c r="A2" s="14" t="s">
        <v>16</v>
      </c>
      <c r="B2" s="15" t="s">
        <v>17</v>
      </c>
      <c r="C2" s="15" t="s">
        <v>18</v>
      </c>
      <c r="D2" s="15" t="s">
        <v>19</v>
      </c>
      <c r="E2" s="15" t="s">
        <v>20</v>
      </c>
    </row>
    <row r="3" spans="1:5" ht="42" customHeight="1" x14ac:dyDescent="0.35">
      <c r="A3" s="16" t="str">
        <f ca="1">IFERROR(__xludf.DUMMYFUNCTION("Query(importrange(""https://docs.google.com/spreadsheets/d/1t10Foe1vTEZyMDsOA_q-Q29vy-Kz9U_eP3ItSEmmPak/edit#gid=525286931"",""HCaTS Master Contracts info!A2:X137""),""SELECT Col10, Col13, Col16, Col17,Col24 where Col10 is not null order by Col13"",0)"),"1")</f>
        <v>1</v>
      </c>
      <c r="B3" s="17"/>
      <c r="C3" s="18"/>
      <c r="D3" s="19"/>
      <c r="E3" s="19"/>
    </row>
    <row r="4" spans="1:5" ht="42" customHeight="1" x14ac:dyDescent="0.35">
      <c r="A4" s="16" t="str">
        <f ca="1">IFERROR(__xludf.DUMMYFUNCTION("""COMPUTED_VALUE"""),"GS02Q16DCR0001")</f>
        <v>GS02Q16DCR0001</v>
      </c>
      <c r="B4" s="17" t="str">
        <f ca="1">IFERROR(__xludf.DUMMYFUNCTION("""COMPUTED_VALUE"""),"Accenture Federal Services LLC")</f>
        <v>Accenture Federal Services LLC</v>
      </c>
      <c r="C4" s="18" t="str">
        <f ca="1">IFERROR(__xludf.DUMMYFUNCTION("""COMPUTED_VALUE"""),"C47BNA8GM833")</f>
        <v>C47BNA8GM833</v>
      </c>
      <c r="D4" s="19" t="str">
        <f ca="1">IFERROR(__xludf.DUMMYFUNCTION("""COMPUTED_VALUE"""),"800 North Glebe Road, Suite 300, Arlington, VA 22203-2151")</f>
        <v>800 North Glebe Road, Suite 300, Arlington, VA 22203-2151</v>
      </c>
      <c r="E4" s="20" t="str">
        <f ca="1">IFERROR(__xludf.DUMMYFUNCTION("""COMPUTED_VALUE"""),"https://www.accenture.com/us-en/support/us-federal-government/human-capital-training-solutions")</f>
        <v>https://www.accenture.com/us-en/support/us-federal-government/human-capital-training-solutions</v>
      </c>
    </row>
    <row r="5" spans="1:5" ht="42" customHeight="1" x14ac:dyDescent="0.35">
      <c r="A5" s="16" t="str">
        <f ca="1">IFERROR(__xludf.DUMMYFUNCTION("""COMPUTED_VALUE"""),"GS02Q16DCR0003")</f>
        <v>GS02Q16DCR0003</v>
      </c>
      <c r="B5" s="17" t="str">
        <f ca="1">IFERROR(__xludf.DUMMYFUNCTION("""COMPUTED_VALUE"""),"Allen Corporation of America, Inc")</f>
        <v>Allen Corporation of America, Inc</v>
      </c>
      <c r="C5" s="18" t="str">
        <f ca="1">IFERROR(__xludf.DUMMYFUNCTION("""COMPUTED_VALUE"""),"C3WHG1FVHF44")</f>
        <v>C3WHG1FVHF44</v>
      </c>
      <c r="D5" s="19" t="str">
        <f ca="1">IFERROR(__xludf.DUMMYFUNCTION("""COMPUTED_VALUE"""),"10400 Eaton Place, Suite 330, Fairfax, VA 22030")</f>
        <v>10400 Eaton Place, Suite 330, Fairfax, VA 22030</v>
      </c>
      <c r="E5" s="20" t="str">
        <f ca="1">IFERROR(__xludf.DUMMYFUNCTION("""COMPUTED_VALUE"""),"https://www.allencorporation.com/human-capital-and-training-solutions/")</f>
        <v>https://www.allencorporation.com/human-capital-and-training-solutions/</v>
      </c>
    </row>
    <row r="6" spans="1:5" ht="42" customHeight="1" x14ac:dyDescent="0.35">
      <c r="A6" s="16" t="str">
        <f ca="1">IFERROR(__xludf.DUMMYFUNCTION("""COMPUTED_VALUE"""),"GS02Q16DCR0015")</f>
        <v>GS02Q16DCR0015</v>
      </c>
      <c r="B6" s="17" t="str">
        <f ca="1">IFERROR(__xludf.DUMMYFUNCTION("""COMPUTED_VALUE"""),"Apprio, Inc")</f>
        <v>Apprio, Inc</v>
      </c>
      <c r="C6" s="18" t="str">
        <f ca="1">IFERROR(__xludf.DUMMYFUNCTION("""COMPUTED_VALUE"""),"D6Y7R4WZCUK8")</f>
        <v>D6Y7R4WZCUK8</v>
      </c>
      <c r="D6" s="19" t="str">
        <f ca="1">IFERROR(__xludf.DUMMYFUNCTION("""COMPUTED_VALUE"""),"425 3rd St SW Ste 600, Washington, DC 20024")</f>
        <v>425 3rd St SW Ste 600, Washington, DC 20024</v>
      </c>
      <c r="E6" s="20" t="str">
        <f ca="1">IFERROR(__xludf.DUMMYFUNCTION("""COMPUTED_VALUE"""),"https://www.apprioinc.com/HCATS")</f>
        <v>https://www.apprioinc.com/HCATS</v>
      </c>
    </row>
    <row r="7" spans="1:5" ht="42" customHeight="1" x14ac:dyDescent="0.35">
      <c r="A7" s="16" t="str">
        <f ca="1">IFERROR(__xludf.DUMMYFUNCTION("""COMPUTED_VALUE"""),"GS02Q16DCR0004")</f>
        <v>GS02Q16DCR0004</v>
      </c>
      <c r="B7" s="17" t="str">
        <f ca="1">IFERROR(__xludf.DUMMYFUNCTION("""COMPUTED_VALUE"""),"Atlas Research, LLC")</f>
        <v>Atlas Research, LLC</v>
      </c>
      <c r="C7" s="18" t="str">
        <f ca="1">IFERROR(__xludf.DUMMYFUNCTION("""COMPUTED_VALUE"""),"QQFRHS1UB7D3")</f>
        <v>QQFRHS1UB7D3</v>
      </c>
      <c r="D7" s="19" t="str">
        <f ca="1">IFERROR(__xludf.DUMMYFUNCTION("""COMPUTED_VALUE"""),"805 15th Street NW, Suite 350, Washington, DC 20005")</f>
        <v>805 15th Street NW, Suite 350, Washington, DC 20005</v>
      </c>
      <c r="E7" s="20" t="str">
        <f ca="1">IFERROR(__xludf.DUMMYFUNCTION("""COMPUTED_VALUE"""),"https://www.atlasresearch.us/HCaTS")</f>
        <v>https://www.atlasresearch.us/HCaTS</v>
      </c>
    </row>
    <row r="8" spans="1:5" ht="42" customHeight="1" x14ac:dyDescent="0.35">
      <c r="A8" s="16" t="str">
        <f ca="1">IFERROR(__xludf.DUMMYFUNCTION("""COMPUTED_VALUE"""),"GS02Q16DCR0005")</f>
        <v>GS02Q16DCR0005</v>
      </c>
      <c r="B8" s="17" t="str">
        <f ca="1">IFERROR(__xludf.DUMMYFUNCTION("""COMPUTED_VALUE"""),"Booz Allen Hamilton, Inc")</f>
        <v>Booz Allen Hamilton, Inc</v>
      </c>
      <c r="C8" s="18" t="str">
        <f ca="1">IFERROR(__xludf.DUMMYFUNCTION("""COMPUTED_VALUE"""),"JCBMLGPE6Z71")</f>
        <v>JCBMLGPE6Z71</v>
      </c>
      <c r="D8" s="19" t="str">
        <f ca="1">IFERROR(__xludf.DUMMYFUNCTION("""COMPUTED_VALUE"""),"8283 Greensboro Drive, McLean, VA, 22102")</f>
        <v>8283 Greensboro Drive, McLean, VA, 22102</v>
      </c>
      <c r="E8" s="20" t="str">
        <f ca="1">IFERROR(__xludf.DUMMYFUNCTION("""COMPUTED_VALUE"""),"https://www.boozallen.com/government-contract-vehicles/government-wide-macs.html")</f>
        <v>https://www.boozallen.com/government-contract-vehicles/government-wide-macs.html</v>
      </c>
    </row>
    <row r="9" spans="1:5" ht="42" customHeight="1" x14ac:dyDescent="0.35">
      <c r="A9" s="16" t="str">
        <f ca="1">IFERROR(__xludf.DUMMYFUNCTION("""COMPUTED_VALUE"""),"GS02Q16DCR0006")</f>
        <v>GS02Q16DCR0006</v>
      </c>
      <c r="B9" s="17" t="str">
        <f ca="1">IFERROR(__xludf.DUMMYFUNCTION("""COMPUTED_VALUE"""),"C2 Technologies, Inc")</f>
        <v>C2 Technologies, Inc</v>
      </c>
      <c r="C9" s="18" t="str">
        <f ca="1">IFERROR(__xludf.DUMMYFUNCTION("""COMPUTED_VALUE"""),"L55KAZMLJM25")</f>
        <v>L55KAZMLJM25</v>
      </c>
      <c r="D9" s="19" t="str">
        <f ca="1">IFERROR(__xludf.DUMMYFUNCTION("""COMPUTED_VALUE"""),"1921 Gallows Rd Ste 200, Vienna, VA 22182-3900")</f>
        <v>1921 Gallows Rd Ste 200, Vienna, VA 22182-3900</v>
      </c>
      <c r="E9" s="20" t="str">
        <f ca="1">IFERROR(__xludf.DUMMYFUNCTION("""COMPUTED_VALUE"""),"https://www.c2ti.com/contracts/hcats-contract-solution/")</f>
        <v>https://www.c2ti.com/contracts/hcats-contract-solution/</v>
      </c>
    </row>
    <row r="10" spans="1:5" ht="42" customHeight="1" x14ac:dyDescent="0.35">
      <c r="A10" s="16" t="str">
        <f ca="1">IFERROR(__xludf.DUMMYFUNCTION("""COMPUTED_VALUE"""),"GS02Q16DCR0007")</f>
        <v>GS02Q16DCR0007</v>
      </c>
      <c r="B10" s="17" t="str">
        <f ca="1">IFERROR(__xludf.DUMMYFUNCTION("""COMPUTED_VALUE"""),"Calibre Systems, Inc")</f>
        <v>Calibre Systems, Inc</v>
      </c>
      <c r="C10" s="18" t="str">
        <f ca="1">IFERROR(__xludf.DUMMYFUNCTION("""COMPUTED_VALUE"""),"KHGARY8DHL23")</f>
        <v>KHGARY8DHL23</v>
      </c>
      <c r="D10" s="19" t="str">
        <f ca="1">IFERROR(__xludf.DUMMYFUNCTION("""COMPUTED_VALUE"""),"6361 Walker Lane,
Metro Park, Suite 1100
Alexandria, VA 22310-3275")</f>
        <v>6361 Walker Lane,
Metro Park, Suite 1100
Alexandria, VA 22310-3275</v>
      </c>
      <c r="E10" s="20" t="str">
        <f ca="1">IFERROR(__xludf.DUMMYFUNCTION("""COMPUTED_VALUE"""),"https://www.calibresys.com/partnering/contract-vehicles.shtml")</f>
        <v>https://www.calibresys.com/partnering/contract-vehicles.shtml</v>
      </c>
    </row>
    <row r="11" spans="1:5" ht="42" customHeight="1" x14ac:dyDescent="0.35">
      <c r="A11" s="16" t="str">
        <f ca="1">IFERROR(__xludf.DUMMYFUNCTION("""COMPUTED_VALUE"""),"GS02Q16DCR0009")</f>
        <v>GS02Q16DCR0009</v>
      </c>
      <c r="B11" s="17" t="str">
        <f ca="1">IFERROR(__xludf.DUMMYFUNCTION("""COMPUTED_VALUE"""),"Carley Corporation")</f>
        <v>Carley Corporation</v>
      </c>
      <c r="C11" s="18" t="str">
        <f ca="1">IFERROR(__xludf.DUMMYFUNCTION("""COMPUTED_VALUE"""),"ESJUFTK8SU88")</f>
        <v>ESJUFTK8SU88</v>
      </c>
      <c r="D11" s="19" t="str">
        <f ca="1">IFERROR(__xludf.DUMMYFUNCTION("""COMPUTED_VALUE"""),"12802 Science Drive, Ste 300, Orlando, FL 32826-3021")</f>
        <v>12802 Science Drive, Ste 300, Orlando, FL 32826-3021</v>
      </c>
      <c r="E11" s="20" t="str">
        <f ca="1">IFERROR(__xludf.DUMMYFUNCTION("""COMPUTED_VALUE"""),"https://www.carleycorp.com/carley-wins-human-capital-and-training-solutions-hcats-contract/")</f>
        <v>https://www.carleycorp.com/carley-wins-human-capital-and-training-solutions-hcats-contract/</v>
      </c>
    </row>
    <row r="12" spans="1:5" ht="42" customHeight="1" x14ac:dyDescent="0.35">
      <c r="A12" s="16" t="str">
        <f ca="1">IFERROR(__xludf.DUMMYFUNCTION("""COMPUTED_VALUE"""),"GS02Q16DCR0116")</f>
        <v>GS02Q16DCR0116</v>
      </c>
      <c r="B12" s="17" t="str">
        <f ca="1">IFERROR(__xludf.DUMMYFUNCTION("""COMPUTED_VALUE"""),"Colleague Consulting, LLC")</f>
        <v>Colleague Consulting, LLC</v>
      </c>
      <c r="C12" s="18" t="str">
        <f ca="1">IFERROR(__xludf.DUMMYFUNCTION("""COMPUTED_VALUE"""),"UA6NPN6M89L6")</f>
        <v>UA6NPN6M89L6</v>
      </c>
      <c r="D12" s="19" t="str">
        <f ca="1">IFERROR(__xludf.DUMMYFUNCTION("""COMPUTED_VALUE"""),"7500 Greenway Center Drive, Suite 200, Greenbelt, MD 20770")</f>
        <v>7500 Greenway Center Drive, Suite 200, Greenbelt, MD 20770</v>
      </c>
      <c r="E12" s="20" t="str">
        <f ca="1">IFERROR(__xludf.DUMMYFUNCTION("""COMPUTED_VALUE"""),"https://www.colleagueconsulting.com/")</f>
        <v>https://www.colleagueconsulting.com/</v>
      </c>
    </row>
    <row r="13" spans="1:5" ht="42" customHeight="1" x14ac:dyDescent="0.35">
      <c r="A13" s="16" t="str">
        <f ca="1">IFERROR(__xludf.DUMMYFUNCTION("""COMPUTED_VALUE"""),"GS02Q16DCR0013")</f>
        <v>GS02Q16DCR0013</v>
      </c>
      <c r="B13" s="17" t="str">
        <f ca="1">IFERROR(__xludf.DUMMYFUNCTION("""COMPUTED_VALUE"""),"Deloitte Consulting LLP")</f>
        <v>Deloitte Consulting LLP</v>
      </c>
      <c r="C13" s="18" t="str">
        <f ca="1">IFERROR(__xludf.DUMMYFUNCTION("""COMPUTED_VALUE"""),"CKV2L9GZKJK3")</f>
        <v>CKV2L9GZKJK3</v>
      </c>
      <c r="D13" s="19" t="str">
        <f ca="1">IFERROR(__xludf.DUMMYFUNCTION("""COMPUTED_VALUE"""),"1919 N Lynn St, Arlington, VA, 22209-1742")</f>
        <v>1919 N Lynn St, Arlington, VA, 22209-1742</v>
      </c>
      <c r="E13" s="20" t="str">
        <f ca="1">IFERROR(__xludf.DUMMYFUNCTION("""COMPUTED_VALUE"""),"https://www2.deloitte.com/us/en/pages/public-sector/solutions/federal-government-contract-vehicles-gsahcats.html")</f>
        <v>https://www2.deloitte.com/us/en/pages/public-sector/solutions/federal-government-contract-vehicles-gsahcats.html</v>
      </c>
    </row>
    <row r="14" spans="1:5" ht="42" customHeight="1" x14ac:dyDescent="0.35">
      <c r="A14" s="16" t="str">
        <f ca="1">IFERROR(__xludf.DUMMYFUNCTION("""COMPUTED_VALUE"""),"47QREB22D0012")</f>
        <v>47QREB22D0012</v>
      </c>
      <c r="B14" s="17" t="str">
        <f ca="1">IFERROR(__xludf.DUMMYFUNCTION("""COMPUTED_VALUE"""),"Fors Marsh Group, LLC")</f>
        <v>Fors Marsh Group, LLC</v>
      </c>
      <c r="C14" s="18" t="str">
        <f ca="1">IFERROR(__xludf.DUMMYFUNCTION("""COMPUTED_VALUE"""),"CSPNRK2TA2X3")</f>
        <v>CSPNRK2TA2X3</v>
      </c>
      <c r="D14" s="19" t="str">
        <f ca="1">IFERROR(__xludf.DUMMYFUNCTION("""COMPUTED_VALUE"""),"1010 N. Glebe Rd, Ste 510, Arlington VA 22201           ")</f>
        <v xml:space="preserve">1010 N. Glebe Rd, Ste 510, Arlington VA 22201           </v>
      </c>
      <c r="E14" s="20" t="str">
        <f ca="1">IFERROR(__xludf.DUMMYFUNCTION("""COMPUTED_VALUE"""),"https://www.forsmarshgroup.com/about/hcats/")</f>
        <v>https://www.forsmarshgroup.com/about/hcats/</v>
      </c>
    </row>
    <row r="15" spans="1:5" ht="42" customHeight="1" x14ac:dyDescent="0.35">
      <c r="A15" s="16" t="str">
        <f ca="1">IFERROR(__xludf.DUMMYFUNCTION("""COMPUTED_VALUE"""),"GS02Q16DCR0016")</f>
        <v>GS02Q16DCR0016</v>
      </c>
      <c r="B15" s="17" t="str">
        <f ca="1">IFERROR(__xludf.DUMMYFUNCTION("""COMPUTED_VALUE"""),"General Dynamics Information Technology, Inc")</f>
        <v>General Dynamics Information Technology, Inc</v>
      </c>
      <c r="C15" s="18" t="str">
        <f ca="1">IFERROR(__xludf.DUMMYFUNCTION("""COMPUTED_VALUE"""),"SMNWM6HN79X5")</f>
        <v>SMNWM6HN79X5</v>
      </c>
      <c r="D15" s="19" t="str">
        <f ca="1">IFERROR(__xludf.DUMMYFUNCTION("""COMPUTED_VALUE"""),"3150 Fairview Park Dr Ste 100, Falls Church, VA, 22042-4504")</f>
        <v>3150 Fairview Park Dr Ste 100, Falls Church, VA, 22042-4504</v>
      </c>
      <c r="E15" s="20" t="str">
        <f ca="1">IFERROR(__xludf.DUMMYFUNCTION("""COMPUTED_VALUE"""),"https://www.gdit.com/about-gdit/contract-vehicles/governmentwide-contracts/hcats-gdit/")</f>
        <v>https://www.gdit.com/about-gdit/contract-vehicles/governmentwide-contracts/hcats-gdit/</v>
      </c>
    </row>
    <row r="16" spans="1:5" ht="42" customHeight="1" x14ac:dyDescent="0.35">
      <c r="A16" s="16" t="str">
        <f ca="1">IFERROR(__xludf.DUMMYFUNCTION("""COMPUTED_VALUE"""),"GS02Q16DCR0017")</f>
        <v>GS02Q16DCR0017</v>
      </c>
      <c r="B16" s="17" t="str">
        <f ca="1">IFERROR(__xludf.DUMMYFUNCTION("""COMPUTED_VALUE"""),"GP Strategies Corporation")</f>
        <v>GP Strategies Corporation</v>
      </c>
      <c r="C16" s="18" t="str">
        <f ca="1">IFERROR(__xludf.DUMMYFUNCTION("""COMPUTED_VALUE"""),"GLRVV6FC6DB3")</f>
        <v>GLRVV6FC6DB3</v>
      </c>
      <c r="D16" s="19" t="str">
        <f ca="1">IFERROR(__xludf.DUMMYFUNCTION("""COMPUTED_VALUE"""),"11000 Broken Land Parkway, Suite 300, Columbia, MD 21044-3541")</f>
        <v>11000 Broken Land Parkway, Suite 300, Columbia, MD 21044-3541</v>
      </c>
      <c r="E16" s="20" t="str">
        <f ca="1">IFERROR(__xludf.DUMMYFUNCTION("""COMPUTED_VALUE"""),"https://www.gpstrategies.com/contract-vehicles/")</f>
        <v>https://www.gpstrategies.com/contract-vehicles/</v>
      </c>
    </row>
    <row r="17" spans="1:5" ht="42" customHeight="1" x14ac:dyDescent="0.35">
      <c r="A17" s="16" t="str">
        <f ca="1">IFERROR(__xludf.DUMMYFUNCTION("""COMPUTED_VALUE"""),"GS02Q16DCR0027")</f>
        <v>GS02Q16DCR0027</v>
      </c>
      <c r="B17" s="17" t="str">
        <f ca="1">IFERROR(__xludf.DUMMYFUNCTION("""COMPUTED_VALUE"""),"Guidehouse, Inc")</f>
        <v>Guidehouse, Inc</v>
      </c>
      <c r="C17" s="18" t="str">
        <f ca="1">IFERROR(__xludf.DUMMYFUNCTION("""COMPUTED_VALUE"""),"N9NJK877QJK9")</f>
        <v>N9NJK877QJK9</v>
      </c>
      <c r="D17" s="19" t="str">
        <f ca="1">IFERROR(__xludf.DUMMYFUNCTION("""COMPUTED_VALUE"""),"1676 INTERNATIONAL DR STE 800
MCLEAN, VA 22102-3600")</f>
        <v>1676 INTERNATIONAL DR STE 800
MCLEAN, VA 22102-3600</v>
      </c>
      <c r="E17" s="20" t="str">
        <f ca="1">IFERROR(__xludf.DUMMYFUNCTION("""COMPUTED_VALUE"""),"https://guidehouse.com/government-contract-vehicles")</f>
        <v>https://guidehouse.com/government-contract-vehicles</v>
      </c>
    </row>
    <row r="18" spans="1:5" ht="42" customHeight="1" x14ac:dyDescent="0.35">
      <c r="A18" s="16" t="str">
        <f ca="1">IFERROR(__xludf.DUMMYFUNCTION("""COMPUTED_VALUE"""),"GS02Q16DCR0008")</f>
        <v>GS02Q16DCR0008</v>
      </c>
      <c r="B18" s="17" t="str">
        <f ca="1">IFERROR(__xludf.DUMMYFUNCTION("""COMPUTED_VALUE"""),"HII Mission Driven Innovative Solutions Inc")</f>
        <v>HII Mission Driven Innovative Solutions Inc</v>
      </c>
      <c r="C18" s="18" t="str">
        <f ca="1">IFERROR(__xludf.DUMMYFUNCTION("""COMPUTED_VALUE"""),"HHT6NC9UT8Z5")</f>
        <v>HHT6NC9UT8Z5</v>
      </c>
      <c r="D18" s="19" t="str">
        <f ca="1">IFERROR(__xludf.DUMMYFUNCTION("""COMPUTED_VALUE"""),"6767 OLD MADISON PIKE NW STE 670 , HUNTSVILLE, AL 35806-2198")</f>
        <v>6767 OLD MADISON PIKE NW STE 670 , HUNTSVILLE, AL 35806-2198</v>
      </c>
      <c r="E18" s="20" t="str">
        <f ca="1">IFERROR(__xludf.DUMMYFUNCTION("""COMPUTED_VALUE"""),"https://tsd.huntingtoningalls.com/contracts/multiple-agency-contracts/gsa-opm-human-capital-and-training-solutions-hcats/")</f>
        <v>https://tsd.huntingtoningalls.com/contracts/multiple-agency-contracts/gsa-opm-human-capital-and-training-solutions-hcats/</v>
      </c>
    </row>
    <row r="19" spans="1:5" ht="42" customHeight="1" x14ac:dyDescent="0.35">
      <c r="A19" s="16" t="str">
        <f ca="1">IFERROR(__xludf.DUMMYFUNCTION("""COMPUTED_VALUE"""),"GS02Q16DCR0019")</f>
        <v>GS02Q16DCR0019</v>
      </c>
      <c r="B19" s="17" t="str">
        <f ca="1">IFERROR(__xludf.DUMMYFUNCTION("""COMPUTED_VALUE"""),"ICF Incorporated, LLC")</f>
        <v>ICF Incorporated, LLC</v>
      </c>
      <c r="C19" s="18" t="str">
        <f ca="1">IFERROR(__xludf.DUMMYFUNCTION("""COMPUTED_VALUE"""),"QHBLBNKKV4U3")</f>
        <v>QHBLBNKKV4U3</v>
      </c>
      <c r="D19" s="19" t="str">
        <f ca="1">IFERROR(__xludf.DUMMYFUNCTION("""COMPUTED_VALUE"""),"1902 Reston Metro Plz, Reston VA 20190
")</f>
        <v xml:space="preserve">1902 Reston Metro Plz, Reston VA 20190
</v>
      </c>
      <c r="E19" s="20" t="str">
        <f ca="1">IFERROR(__xludf.DUMMYFUNCTION("""COMPUTED_VALUE"""),"https://www.icf.com/contracts/gsa/human-capital-and-training-solutions-hcats")</f>
        <v>https://www.icf.com/contracts/gsa/human-capital-and-training-solutions-hcats</v>
      </c>
    </row>
    <row r="20" spans="1:5" ht="42" customHeight="1" x14ac:dyDescent="0.35">
      <c r="A20" s="16" t="str">
        <f ca="1">IFERROR(__xludf.DUMMYFUNCTION("""COMPUTED_VALUE"""),"GS02Q16DCR0018")</f>
        <v>GS02Q16DCR0018</v>
      </c>
      <c r="B20" s="17" t="str">
        <f ca="1">IFERROR(__xludf.DUMMYFUNCTION("""COMPUTED_VALUE"""),"International Business Machines Corporation (IBM)")</f>
        <v>International Business Machines Corporation (IBM)</v>
      </c>
      <c r="C20" s="18" t="str">
        <f ca="1">IFERROR(__xludf.DUMMYFUNCTION("""COMPUTED_VALUE"""),"VV9KH3L99VE3")</f>
        <v>VV9KH3L99VE3</v>
      </c>
      <c r="D20" s="19" t="str">
        <f ca="1">IFERROR(__xludf.DUMMYFUNCTION("""COMPUTED_VALUE"""),"6710 Rockledge Drive, Bethesda, MD 20817")</f>
        <v>6710 Rockledge Drive, Bethesda, MD 20817</v>
      </c>
      <c r="E20" s="20" t="str">
        <f ca="1">IFERROR(__xludf.DUMMYFUNCTION("""COMPUTED_VALUE"""),"https://www.ibm.com/industries/federal/contracts/hcats")</f>
        <v>https://www.ibm.com/industries/federal/contracts/hcats</v>
      </c>
    </row>
    <row r="21" spans="1:5" ht="42" customHeight="1" x14ac:dyDescent="0.35">
      <c r="A21" s="16" t="str">
        <f ca="1">IFERROR(__xludf.DUMMYFUNCTION("""COMPUTED_VALUE"""),"GS02Q16DCR0020")</f>
        <v>GS02Q16DCR0020</v>
      </c>
      <c r="B21" s="17" t="str">
        <f ca="1">IFERROR(__xludf.DUMMYFUNCTION("""COMPUTED_VALUE"""),"KeyBridge Technologies, Inc")</f>
        <v>KeyBridge Technologies, Inc</v>
      </c>
      <c r="C21" s="18" t="str">
        <f ca="1">IFERROR(__xludf.DUMMYFUNCTION("""COMPUTED_VALUE"""),"ME9KE1Y5HCR8")</f>
        <v>ME9KE1Y5HCR8</v>
      </c>
      <c r="D21" s="19" t="str">
        <f ca="1">IFERROR(__xludf.DUMMYFUNCTION("""COMPUTED_VALUE"""),"4415 Highline Boulevard, STE 100, Oklahoma City, OK 73108-1899")</f>
        <v>4415 Highline Boulevard, STE 100, Oklahoma City, OK 73108-1899</v>
      </c>
      <c r="E21" s="20" t="str">
        <f ca="1">IFERROR(__xludf.DUMMYFUNCTION("""COMPUTED_VALUE"""),"https://www.keybridgeti.com/hcats/hcats_overview.html")</f>
        <v>https://www.keybridgeti.com/hcats/hcats_overview.html</v>
      </c>
    </row>
    <row r="22" spans="1:5" ht="42" customHeight="1" x14ac:dyDescent="0.35">
      <c r="A22" s="16" t="str">
        <f ca="1">IFERROR(__xludf.DUMMYFUNCTION("""COMPUTED_VALUE"""),"GS02Q16DCR0022")</f>
        <v>GS02Q16DCR0022</v>
      </c>
      <c r="B22" s="17" t="str">
        <f ca="1">IFERROR(__xludf.DUMMYFUNCTION("""COMPUTED_VALUE"""),"Leidos, Inc")</f>
        <v>Leidos, Inc</v>
      </c>
      <c r="C22" s="18" t="str">
        <f ca="1">IFERROR(__xludf.DUMMYFUNCTION("""COMPUTED_VALUE"""),"MYKLJHTX3MM7")</f>
        <v>MYKLJHTX3MM7</v>
      </c>
      <c r="D22" s="19" t="str">
        <f ca="1">IFERROR(__xludf.DUMMYFUNCTION("""COMPUTED_VALUE"""),"9737 WASHINGTONIAN BLVD STE 100 , GAITHERSBURG, MD 20878-7363")</f>
        <v>9737 WASHINGTONIAN BLVD STE 100 , GAITHERSBURG, MD 20878-7363</v>
      </c>
      <c r="E22" s="20" t="str">
        <f ca="1">IFERROR(__xludf.DUMMYFUNCTION("""COMPUTED_VALUE"""),"https://www.leidos.com/company/contract-vehicles")</f>
        <v>https://www.leidos.com/company/contract-vehicles</v>
      </c>
    </row>
    <row r="23" spans="1:5" ht="42" customHeight="1" x14ac:dyDescent="0.35">
      <c r="A23" s="16" t="str">
        <f ca="1">IFERROR(__xludf.DUMMYFUNCTION("""COMPUTED_VALUE"""),"GS02Q16DCR0021")</f>
        <v>GS02Q16DCR0021</v>
      </c>
      <c r="B23" s="17" t="str">
        <f ca="1">IFERROR(__xludf.DUMMYFUNCTION("""COMPUTED_VALUE"""),"LMI Consulting, LLC ")</f>
        <v xml:space="preserve">LMI Consulting, LLC </v>
      </c>
      <c r="C23" s="18" t="str">
        <f ca="1">IFERROR(__xludf.DUMMYFUNCTION("""COMPUTED_VALUE"""),"QVEKLLJUGHJ7")</f>
        <v>QVEKLLJUGHJ7</v>
      </c>
      <c r="D23" s="19" t="str">
        <f ca="1">IFERROR(__xludf.DUMMYFUNCTION("""COMPUTED_VALUE"""),"7940 Jones Branch Drive, McLean, VA, 22102-3381")</f>
        <v>7940 Jones Branch Drive, McLean, VA, 22102-3381</v>
      </c>
      <c r="E23" s="20" t="str">
        <f ca="1">IFERROR(__xludf.DUMMYFUNCTION("""COMPUTED_VALUE"""),"https://www.lmi.org/contracts/government-wide-contract-vehicles")</f>
        <v>https://www.lmi.org/contracts/government-wide-contract-vehicles</v>
      </c>
    </row>
    <row r="24" spans="1:5" ht="42" customHeight="1" x14ac:dyDescent="0.35">
      <c r="A24" s="16" t="str">
        <f ca="1">IFERROR(__xludf.DUMMYFUNCTION("""COMPUTED_VALUE"""),"GS02Q16DCR0002")</f>
        <v>GS02Q16DCR0002</v>
      </c>
      <c r="B24" s="17" t="str">
        <f ca="1">IFERROR(__xludf.DUMMYFUNCTION("""COMPUTED_VALUE"""),"Magellan Federal Inc. (FKA AFSC)")</f>
        <v>Magellan Federal Inc. (FKA AFSC)</v>
      </c>
      <c r="C24" s="18" t="str">
        <f ca="1">IFERROR(__xludf.DUMMYFUNCTION("""COMPUTED_VALUE"""),"MFYCXCNW4WL5")</f>
        <v>MFYCXCNW4WL5</v>
      </c>
      <c r="D24" s="19" t="str">
        <f ca="1">IFERROR(__xludf.DUMMYFUNCTION("""COMPUTED_VALUE"""),"2800 Shirlington Road, Suite 350, Arlington, VA 22206-3601")</f>
        <v>2800 Shirlington Road, Suite 350, Arlington, VA 22206-3601</v>
      </c>
      <c r="E24" s="20" t="str">
        <f ca="1">IFERROR(__xludf.DUMMYFUNCTION("""COMPUTED_VALUE"""),"https://www.magellanfederal.com/what-we-do/contract-vehicles/")</f>
        <v>https://www.magellanfederal.com/what-we-do/contract-vehicles/</v>
      </c>
    </row>
    <row r="25" spans="1:5" ht="42" customHeight="1" x14ac:dyDescent="0.35">
      <c r="A25" s="16" t="str">
        <f ca="1">IFERROR(__xludf.DUMMYFUNCTION("""COMPUTED_VALUE"""),"GS02Q16DCR0023")</f>
        <v>GS02Q16DCR0023</v>
      </c>
      <c r="B25" s="17" t="str">
        <f ca="1">IFERROR(__xludf.DUMMYFUNCTION("""COMPUTED_VALUE"""),"Management Concepts, Inc")</f>
        <v>Management Concepts, Inc</v>
      </c>
      <c r="C25" s="18" t="str">
        <f ca="1">IFERROR(__xludf.DUMMYFUNCTION("""COMPUTED_VALUE"""),"C2R2ML1DWXW6")</f>
        <v>C2R2ML1DWXW6</v>
      </c>
      <c r="D25" s="19" t="str">
        <f ca="1">IFERROR(__xludf.DUMMYFUNCTION("""COMPUTED_VALUE"""),"8230 Leesburg Pike, Suite 800, Tysons Corner, VA 22182-2641")</f>
        <v>8230 Leesburg Pike, Suite 800, Tysons Corner, VA 22182-2641</v>
      </c>
      <c r="E25" s="20" t="str">
        <f ca="1">IFERROR(__xludf.DUMMYFUNCTION("""COMPUTED_VALUE"""),"https://www.managementconcepts.com/Custom-Learning-Solutions/Solutions/Work-With-Us/HCaTS")</f>
        <v>https://www.managementconcepts.com/Custom-Learning-Solutions/Solutions/Work-With-Us/HCaTS</v>
      </c>
    </row>
    <row r="26" spans="1:5" ht="42" customHeight="1" x14ac:dyDescent="0.35">
      <c r="A26" s="16" t="str">
        <f ca="1">IFERROR(__xludf.DUMMYFUNCTION("""COMPUTED_VALUE"""),"GS02Q16DCR0115")</f>
        <v>GS02Q16DCR0115</v>
      </c>
      <c r="B26" s="17" t="str">
        <f ca="1">IFERROR(__xludf.DUMMYFUNCTION("""COMPUTED_VALUE"""),"NTT DATA Federal Services, Inc")</f>
        <v>NTT DATA Federal Services, Inc</v>
      </c>
      <c r="C26" s="18" t="str">
        <f ca="1">IFERROR(__xludf.DUMMYFUNCTION("""COMPUTED_VALUE"""),"WLDXH4S6J7G6")</f>
        <v>WLDXH4S6J7G6</v>
      </c>
      <c r="D26" s="19" t="str">
        <f ca="1">IFERROR(__xludf.DUMMYFUNCTION("""COMPUTED_VALUE"""),"2551 Dulles View Drive Ste 400, Herndon, VA 20171 ")</f>
        <v xml:space="preserve">2551 Dulles View Drive Ste 400, Herndon, VA 20171 </v>
      </c>
      <c r="E26" s="20" t="str">
        <f ca="1">IFERROR(__xludf.DUMMYFUNCTION("""COMPUTED_VALUE"""),"https://us.nttdata.com/en/industries/public-sector/public-sector-contract-vehicles/government-wide-acquisition-contracts-gwacs/gsa-hcats")</f>
        <v>https://us.nttdata.com/en/industries/public-sector/public-sector-contract-vehicles/government-wide-acquisition-contracts-gwacs/gsa-hcats</v>
      </c>
    </row>
    <row r="27" spans="1:5" ht="42" customHeight="1" x14ac:dyDescent="0.35">
      <c r="A27" s="16" t="str">
        <f ca="1">IFERROR(__xludf.DUMMYFUNCTION("""COMPUTED_VALUE"""),"GS02Q16DCR0011")</f>
        <v>GS02Q16DCR0011</v>
      </c>
      <c r="B27" s="17" t="str">
        <f ca="1">IFERROR(__xludf.DUMMYFUNCTION("""COMPUTED_VALUE"""),"Panum Telecom, LLC")</f>
        <v>Panum Telecom, LLC</v>
      </c>
      <c r="C27" s="18" t="str">
        <f ca="1">IFERROR(__xludf.DUMMYFUNCTION("""COMPUTED_VALUE"""),"GMAUZS5J44M5")</f>
        <v>GMAUZS5J44M5</v>
      </c>
      <c r="D27" s="19" t="str">
        <f ca="1">IFERROR(__xludf.DUMMYFUNCTION("""COMPUTED_VALUE"""),"7315 Wisconsin Ave Ste 800 W, Bethesda, MD, 20814-3202")</f>
        <v>7315 Wisconsin Ave Ste 800 W, Bethesda, MD, 20814-3202</v>
      </c>
      <c r="E27" s="20" t="str">
        <f ca="1">IFERROR(__xludf.DUMMYFUNCTION("""COMPUTED_VALUE"""),"https://www.panum.com/government-contracting")</f>
        <v>https://www.panum.com/government-contracting</v>
      </c>
    </row>
    <row r="28" spans="1:5" ht="42" customHeight="1" x14ac:dyDescent="0.35">
      <c r="A28" s="16" t="str">
        <f ca="1">IFERROR(__xludf.DUMMYFUNCTION("""COMPUTED_VALUE"""),"GS02Q16DCR0024")</f>
        <v>GS02Q16DCR0024</v>
      </c>
      <c r="B28" s="17" t="str">
        <f ca="1">IFERROR(__xludf.DUMMYFUNCTION("""COMPUTED_VALUE"""),"Personnel Decisions Research Institutes, LLC (PDRI)")</f>
        <v>Personnel Decisions Research Institutes, LLC (PDRI)</v>
      </c>
      <c r="C28" s="18" t="str">
        <f ca="1">IFERROR(__xludf.DUMMYFUNCTION("""COMPUTED_VALUE"""),"KGZ7ELR8QJM6")</f>
        <v>KGZ7ELR8QJM6</v>
      </c>
      <c r="D28" s="19" t="str">
        <f ca="1">IFERROR(__xludf.DUMMYFUNCTION("""COMPUTED_VALUE"""),"111 Washington Avenue South, Suite 600
Minneapolis, MN, 55401-2399")</f>
        <v>111 Washington Avenue South, Suite 600
Minneapolis, MN, 55401-2399</v>
      </c>
      <c r="E28" s="20" t="str">
        <f ca="1">IFERROR(__xludf.DUMMYFUNCTION("""COMPUTED_VALUE"""),"https://pdri.com/about-pdri/contract-vehicles/")</f>
        <v>https://pdri.com/about-pdri/contract-vehicles/</v>
      </c>
    </row>
    <row r="29" spans="1:5" ht="42" customHeight="1" x14ac:dyDescent="0.35">
      <c r="A29" s="16" t="str">
        <f ca="1">IFERROR(__xludf.DUMMYFUNCTION("""COMPUTED_VALUE"""),"GS02Q16DCR0025")</f>
        <v>GS02Q16DCR0025</v>
      </c>
      <c r="B29" s="17" t="str">
        <f ca="1">IFERROR(__xludf.DUMMYFUNCTION("""COMPUTED_VALUE"""),"Piton Science &amp; Technology LLC")</f>
        <v>Piton Science &amp; Technology LLC</v>
      </c>
      <c r="C29" s="18" t="str">
        <f ca="1">IFERROR(__xludf.DUMMYFUNCTION("""COMPUTED_VALUE"""),"W8SHUJ42NZ64")</f>
        <v>W8SHUJ42NZ64</v>
      </c>
      <c r="D29" s="19" t="str">
        <f ca="1">IFERROR(__xludf.DUMMYFUNCTION("""COMPUTED_VALUE"""),"2696 Linda Marie Drive, Oakton, VA 22124-1111")</f>
        <v>2696 Linda Marie Drive, Oakton, VA 22124-1111</v>
      </c>
      <c r="E29" s="20" t="str">
        <f ca="1">IFERROR(__xludf.DUMMYFUNCTION("""COMPUTED_VALUE"""),"http://www.pitonscience.com/index.php/hcats")</f>
        <v>http://www.pitonscience.com/index.php/hcats</v>
      </c>
    </row>
    <row r="30" spans="1:5" ht="42" customHeight="1" x14ac:dyDescent="0.35">
      <c r="A30" s="16" t="str">
        <f ca="1">IFERROR(__xludf.DUMMYFUNCTION("""COMPUTED_VALUE"""),"GS02Q16DCR0026")</f>
        <v>GS02Q16DCR0026</v>
      </c>
      <c r="B30" s="17" t="str">
        <f ca="1">IFERROR(__xludf.DUMMYFUNCTION("""COMPUTED_VALUE"""),"PowerTrain, Inc")</f>
        <v>PowerTrain, Inc</v>
      </c>
      <c r="C30" s="18" t="str">
        <f ca="1">IFERROR(__xludf.DUMMYFUNCTION("""COMPUTED_VALUE"""),"FFFBN9JMAKK3")</f>
        <v>FFFBN9JMAKK3</v>
      </c>
      <c r="D30" s="19" t="str">
        <f ca="1">IFERROR(__xludf.DUMMYFUNCTION("""COMPUTED_VALUE"""),"8201 Corporate Drive, Suite 500, Landover MD 20785-2230")</f>
        <v>8201 Corporate Drive, Suite 500, Landover MD 20785-2230</v>
      </c>
      <c r="E30" s="20" t="str">
        <f ca="1">IFERROR(__xludf.DUMMYFUNCTION("""COMPUTED_VALUE"""),"https://www.powertrain.com/_site/hcats.aspx")</f>
        <v>https://www.powertrain.com/_site/hcats.aspx</v>
      </c>
    </row>
    <row r="31" spans="1:5" ht="42" customHeight="1" x14ac:dyDescent="0.35">
      <c r="A31" s="16" t="str">
        <f ca="1">IFERROR(__xludf.DUMMYFUNCTION("""COMPUTED_VALUE"""),"47QREB22D0010")</f>
        <v>47QREB22D0010</v>
      </c>
      <c r="B31" s="17" t="str">
        <f ca="1">IFERROR(__xludf.DUMMYFUNCTION("""COMPUTED_VALUE"""),"Rigil Corporation")</f>
        <v>Rigil Corporation</v>
      </c>
      <c r="C31" s="18" t="str">
        <f ca="1">IFERROR(__xludf.DUMMYFUNCTION("""COMPUTED_VALUE"""),"DYF8NAF1MCH6")</f>
        <v>DYF8NAF1MCH6</v>
      </c>
      <c r="D31" s="19" t="str">
        <f ca="1">IFERROR(__xludf.DUMMYFUNCTION("""COMPUTED_VALUE"""),"4800 Westfields Blvd, Suite 120, Chantilly, VA 20151")</f>
        <v>4800 Westfields Blvd, Suite 120, Chantilly, VA 20151</v>
      </c>
      <c r="E31" s="20" t="str">
        <f ca="1">IFERROR(__xludf.DUMMYFUNCTION("""COMPUTED_VALUE"""),"https://rigil.com/contract-vehicles/")</f>
        <v>https://rigil.com/contract-vehicles/</v>
      </c>
    </row>
    <row r="32" spans="1:5" ht="42" customHeight="1" x14ac:dyDescent="0.35">
      <c r="A32" s="16" t="str">
        <f ca="1">IFERROR(__xludf.DUMMYFUNCTION("""COMPUTED_VALUE"""),"GS02Q16DCR0028")</f>
        <v>GS02Q16DCR0028</v>
      </c>
      <c r="B32" s="17" t="str">
        <f ca="1">IFERROR(__xludf.DUMMYFUNCTION("""COMPUTED_VALUE"""),"Science Applications International Corporation (SAIC)")</f>
        <v>Science Applications International Corporation (SAIC)</v>
      </c>
      <c r="C32" s="18" t="str">
        <f ca="1">IFERROR(__xludf.DUMMYFUNCTION("""COMPUTED_VALUE"""),"MMLKPW9JLX64")</f>
        <v>MMLKPW9JLX64</v>
      </c>
      <c r="D32" s="19" t="str">
        <f ca="1">IFERROR(__xludf.DUMMYFUNCTION("""COMPUTED_VALUE"""),"12010 Sunset Hills Road, Reston, VA 20190-5856")</f>
        <v>12010 Sunset Hills Road, Reston, VA 20190-5856</v>
      </c>
      <c r="E32" s="20" t="str">
        <f ca="1">IFERROR(__xludf.DUMMYFUNCTION("""COMPUTED_VALUE"""),"https://www.saic.com/who-we-serve/contracts-and-schedules/gsa-hcats")</f>
        <v>https://www.saic.com/who-we-serve/contracts-and-schedules/gsa-hcats</v>
      </c>
    </row>
    <row r="33" spans="1:5" ht="42" customHeight="1" x14ac:dyDescent="0.35">
      <c r="A33" s="16" t="str">
        <f ca="1">IFERROR(__xludf.DUMMYFUNCTION("""COMPUTED_VALUE"""),"GS02Q16DCR0029")</f>
        <v>GS02Q16DCR0029</v>
      </c>
      <c r="B33" s="17" t="str">
        <f ca="1">IFERROR(__xludf.DUMMYFUNCTION("""COMPUTED_VALUE"""),"Serco Inc")</f>
        <v>Serco Inc</v>
      </c>
      <c r="C33" s="18" t="str">
        <f ca="1">IFERROR(__xludf.DUMMYFUNCTION("""COMPUTED_VALUE"""),"DKJ1R5ABCN48")</f>
        <v>DKJ1R5ABCN48</v>
      </c>
      <c r="D33" s="19" t="str">
        <f ca="1">IFERROR(__xludf.DUMMYFUNCTION("""COMPUTED_VALUE"""),"12930 Worldgate Drive, Suite 600, Herndon, Virginia 20170")</f>
        <v>12930 Worldgate Drive, Suite 600, Herndon, Virginia 20170</v>
      </c>
      <c r="E33" s="20" t="str">
        <f ca="1">IFERROR(__xludf.DUMMYFUNCTION("""COMPUTED_VALUE"""),"https://www.serco.com/na/contracts/human-capital-and-training-solutions-hcats")</f>
        <v>https://www.serco.com/na/contracts/human-capital-and-training-solutions-hcats</v>
      </c>
    </row>
    <row r="34" spans="1:5" ht="42" customHeight="1" x14ac:dyDescent="0.35">
      <c r="A34" s="16" t="str">
        <f ca="1">IFERROR(__xludf.DUMMYFUNCTION("""COMPUTED_VALUE"""),"GS02Q16DCR0030")</f>
        <v>GS02Q16DCR0030</v>
      </c>
      <c r="B34" s="17" t="str">
        <f ca="1">IFERROR(__xludf.DUMMYFUNCTION("""COMPUTED_VALUE"""),"Sigmatech, Inc")</f>
        <v>Sigmatech, Inc</v>
      </c>
      <c r="C34" s="18" t="str">
        <f ca="1">IFERROR(__xludf.DUMMYFUNCTION("""COMPUTED_VALUE"""),"G2W1NL736LE8")</f>
        <v>G2W1NL736LE8</v>
      </c>
      <c r="D34" s="19" t="str">
        <f ca="1">IFERROR(__xludf.DUMMYFUNCTION("""COMPUTED_VALUE"""),"631 Discovery Dr NW
Huntsville, AL 35806-2801")</f>
        <v>631 Discovery Dr NW
Huntsville, AL 35806-2801</v>
      </c>
      <c r="E34" s="20" t="str">
        <f ca="1">IFERROR(__xludf.DUMMYFUNCTION("""COMPUTED_VALUE"""),"https://sigmatech.com/contracts/hcats/")</f>
        <v>https://sigmatech.com/contracts/hcats/</v>
      </c>
    </row>
    <row r="35" spans="1:5" ht="42" customHeight="1" x14ac:dyDescent="0.35">
      <c r="A35" s="16" t="str">
        <f ca="1">IFERROR(__xludf.DUMMYFUNCTION("""COMPUTED_VALUE"""),"GS02Q16DCR0031")</f>
        <v>GS02Q16DCR0031</v>
      </c>
      <c r="B35" s="17" t="str">
        <f ca="1">IFERROR(__xludf.DUMMYFUNCTION("""COMPUTED_VALUE"""),"SRA International, Inc")</f>
        <v>SRA International, Inc</v>
      </c>
      <c r="C35" s="18" t="str">
        <f ca="1">IFERROR(__xludf.DUMMYFUNCTION("""COMPUTED_VALUE"""),"NYM8TAUFLXP3")</f>
        <v>NYM8TAUFLXP3</v>
      </c>
      <c r="D35" s="19" t="str">
        <f ca="1">IFERROR(__xludf.DUMMYFUNCTION("""COMPUTED_VALUE"""),"15036 Conference Center Drive, Chantilly, VA 20151")</f>
        <v>15036 Conference Center Drive, Chantilly, VA 20151</v>
      </c>
      <c r="E35" s="20" t="str">
        <f ca="1">IFERROR(__xludf.DUMMYFUNCTION("""COMPUTED_VALUE"""),"https://www.gdit.com/about-gdit/contract-vehicles/governmentwide-contracts/hcats-sra/")</f>
        <v>https://www.gdit.com/about-gdit/contract-vehicles/governmentwide-contracts/hcats-sra/</v>
      </c>
    </row>
    <row r="36" spans="1:5" ht="42" customHeight="1" x14ac:dyDescent="0.35">
      <c r="A36" s="16" t="str">
        <f ca="1">IFERROR(__xludf.DUMMYFUNCTION("""COMPUTED_VALUE"""),"GS02Q16DCR0010")</f>
        <v>GS02Q16DCR0010</v>
      </c>
      <c r="B36" s="17" t="str">
        <f ca="1">IFERROR(__xludf.DUMMYFUNCTION("""COMPUTED_VALUE"""),"Team Carney, Inc")</f>
        <v>Team Carney, Inc</v>
      </c>
      <c r="C36" s="18" t="str">
        <f ca="1">IFERROR(__xludf.DUMMYFUNCTION("""COMPUTED_VALUE"""),"KCJVUZCD13K3")</f>
        <v>KCJVUZCD13K3</v>
      </c>
      <c r="D36" s="19" t="str">
        <f ca="1">IFERROR(__xludf.DUMMYFUNCTION("""COMPUTED_VALUE"""),"7621 Admiral Dr.
Alexandria, VA 22308-1071
")</f>
        <v xml:space="preserve">7621 Admiral Dr.
Alexandria, VA 22308-1071
</v>
      </c>
      <c r="E36" s="20" t="str">
        <f ca="1">IFERROR(__xludf.DUMMYFUNCTION("""COMPUTED_VALUE"""),"http://www.teamcarney.com/working-with-carney/contract-vehicles/gsa-opm-hcats/")</f>
        <v>http://www.teamcarney.com/working-with-carney/contract-vehicles/gsa-opm-hcats/</v>
      </c>
    </row>
    <row r="37" spans="1:5" ht="42" customHeight="1" x14ac:dyDescent="0.35">
      <c r="A37" s="16" t="str">
        <f ca="1">IFERROR(__xludf.DUMMYFUNCTION("""COMPUTED_VALUE"""),"GS02Q16DCR0033")</f>
        <v>GS02Q16DCR0033</v>
      </c>
      <c r="B37" s="17" t="str">
        <f ca="1">IFERROR(__xludf.DUMMYFUNCTION("""COMPUTED_VALUE"""),"The North Highland Company, LLC")</f>
        <v>The North Highland Company, LLC</v>
      </c>
      <c r="C37" s="18" t="str">
        <f ca="1">IFERROR(__xludf.DUMMYFUNCTION("""COMPUTED_VALUE"""),"DZHAKNC8MJ55")</f>
        <v>DZHAKNC8MJ55</v>
      </c>
      <c r="D37" s="19" t="str">
        <f ca="1">IFERROR(__xludf.DUMMYFUNCTION("""COMPUTED_VALUE"""),"3333 Piedmont Road NE Suite 1000 Atlanta, GA 30305")</f>
        <v>3333 Piedmont Road NE Suite 1000 Atlanta, GA 30305</v>
      </c>
      <c r="E37" s="20" t="str">
        <f ca="1">IFERROR(__xludf.DUMMYFUNCTION("""COMPUTED_VALUE"""),"https://www.northhighland.com/hcats")</f>
        <v>https://www.northhighland.com/hcats</v>
      </c>
    </row>
    <row r="38" spans="1:5" ht="42" customHeight="1" x14ac:dyDescent="0.35">
      <c r="A38" s="16" t="str">
        <f ca="1">IFERROR(__xludf.DUMMYFUNCTION("""COMPUTED_VALUE"""),"GS02Q16DCR0012")</f>
        <v>GS02Q16DCR0012</v>
      </c>
      <c r="B38" s="17" t="str">
        <f ca="1">IFERROR(__xludf.DUMMYFUNCTION("""COMPUTED_VALUE"""),"Valiant Global Defense Services, Inc")</f>
        <v>Valiant Global Defense Services, Inc</v>
      </c>
      <c r="C38" s="18" t="str">
        <f ca="1">IFERROR(__xludf.DUMMYFUNCTION("""COMPUTED_VALUE"""),"PD3UQQ22NQW1")</f>
        <v>PD3UQQ22NQW1</v>
      </c>
      <c r="D38" s="19" t="str">
        <f ca="1">IFERROR(__xludf.DUMMYFUNCTION("""COMPUTED_VALUE"""),"Valiant Integrated Services
2355 Dulles Corner Blvd, Ste 200
Herndon, VA  20171")</f>
        <v>Valiant Integrated Services
2355 Dulles Corner Blvd, Ste 200
Herndon, VA  20171</v>
      </c>
      <c r="E38" s="20" t="str">
        <f ca="1">IFERROR(__xludf.DUMMYFUNCTION("""COMPUTED_VALUE"""),"https://www.onevaliant.com/hcats")</f>
        <v>https://www.onevaliant.com/hcats</v>
      </c>
    </row>
    <row r="39" spans="1:5" ht="42" customHeight="1" x14ac:dyDescent="0.35">
      <c r="A39" s="16"/>
      <c r="B39" s="17"/>
      <c r="C39" s="18"/>
      <c r="D39" s="19"/>
      <c r="E39" s="19"/>
    </row>
    <row r="40" spans="1:5" ht="42" customHeight="1" x14ac:dyDescent="0.35">
      <c r="A40" s="16"/>
      <c r="B40" s="17"/>
      <c r="C40" s="18"/>
      <c r="D40" s="19"/>
      <c r="E40" s="19"/>
    </row>
  </sheetData>
  <hyperlinks>
    <hyperlink ref="E4" r:id="rId1" display="https://www.accenture.com/us-en/support/us-federal-government/human-capital-training-solutions" xr:uid="{00000000-0004-0000-0100-000000000000}"/>
    <hyperlink ref="E5" r:id="rId2" display="https://www.allencorporation.com/human-capital-and-training-solutions/" xr:uid="{00000000-0004-0000-0100-000001000000}"/>
    <hyperlink ref="E6" r:id="rId3" display="https://www.apprioinc.com/HCATS" xr:uid="{00000000-0004-0000-0100-000002000000}"/>
    <hyperlink ref="E7" r:id="rId4" display="https://www.atlasresearch.us/HCaTS" xr:uid="{00000000-0004-0000-0100-000003000000}"/>
    <hyperlink ref="E8" r:id="rId5" display="https://www.boozallen.com/government-contract-vehicles/government-wide-macs.html" xr:uid="{00000000-0004-0000-0100-000004000000}"/>
    <hyperlink ref="E9" r:id="rId6" display="https://www.c2ti.com/contracts/hcats-contract-solution/" xr:uid="{00000000-0004-0000-0100-000005000000}"/>
    <hyperlink ref="E10" r:id="rId7" display="https://www.calibresys.com/partnering/contract-vehicles.shtml" xr:uid="{00000000-0004-0000-0100-000006000000}"/>
    <hyperlink ref="E11" r:id="rId8" display="https://www.carleycorp.com/carley-wins-human-capital-and-training-solutions-hcats-contract/" xr:uid="{00000000-0004-0000-0100-000007000000}"/>
    <hyperlink ref="E12" r:id="rId9" display="https://www.colleagueconsulting.com/" xr:uid="{00000000-0004-0000-0100-000008000000}"/>
    <hyperlink ref="E13" r:id="rId10" display="https://www2.deloitte.com/us/en/pages/public-sector/solutions/federal-government-contract-vehicles-gsahcats.html" xr:uid="{00000000-0004-0000-0100-000009000000}"/>
    <hyperlink ref="E14" r:id="rId11" display="https://www.forsmarshgroup.com/about/hcats/" xr:uid="{00000000-0004-0000-0100-00000A000000}"/>
    <hyperlink ref="E15" r:id="rId12" display="https://www.gdit.com/about-gdit/contract-vehicles/governmentwide-contracts/hcats-gdit/" xr:uid="{00000000-0004-0000-0100-00000B000000}"/>
    <hyperlink ref="E16" r:id="rId13" display="https://www.gpstrategies.com/contract-vehicles/" xr:uid="{00000000-0004-0000-0100-00000C000000}"/>
    <hyperlink ref="E17" r:id="rId14" display="https://guidehouse.com/government-contract-vehicles" xr:uid="{00000000-0004-0000-0100-00000D000000}"/>
    <hyperlink ref="E18" r:id="rId15" display="https://tsd.huntingtoningalls.com/contracts/multiple-agency-contracts/gsa-opm-human-capital-and-training-solutions-hcats/" xr:uid="{00000000-0004-0000-0100-00000E000000}"/>
    <hyperlink ref="E19" r:id="rId16" display="https://www.icf.com/contracts/gsa/human-capital-and-training-solutions-hcats" xr:uid="{00000000-0004-0000-0100-00000F000000}"/>
    <hyperlink ref="E20" r:id="rId17" display="https://www.ibm.com/industries/federal/contracts/hcats" xr:uid="{00000000-0004-0000-0100-000010000000}"/>
    <hyperlink ref="E21" r:id="rId18" display="https://www.keybridgeti.com/hcats/hcats_overview.html" xr:uid="{00000000-0004-0000-0100-000011000000}"/>
    <hyperlink ref="E22" r:id="rId19" display="https://www.leidos.com/company/contract-vehicles" xr:uid="{00000000-0004-0000-0100-000012000000}"/>
    <hyperlink ref="E23" r:id="rId20" display="https://www.lmi.org/contracts/government-wide-contract-vehicles" xr:uid="{00000000-0004-0000-0100-000013000000}"/>
    <hyperlink ref="E24" r:id="rId21" display="https://www.magellanfederal.com/what-we-do/contract-vehicles/" xr:uid="{00000000-0004-0000-0100-000014000000}"/>
    <hyperlink ref="E25" r:id="rId22" display="https://www.managementconcepts.com/Custom-Learning-Solutions/Solutions/Work-With-Us/HCaTS" xr:uid="{00000000-0004-0000-0100-000015000000}"/>
    <hyperlink ref="E26" r:id="rId23" display="https://us.nttdata.com/en/industries/public-sector/public-sector-contract-vehicles/government-wide-acquisition-contracts-gwacs/gsa-hcats" xr:uid="{00000000-0004-0000-0100-000016000000}"/>
    <hyperlink ref="E27" r:id="rId24" display="https://www.panum.com/government-contracting" xr:uid="{00000000-0004-0000-0100-000017000000}"/>
    <hyperlink ref="E28" r:id="rId25" display="https://pdri.com/about-pdri/contract-vehicles/" xr:uid="{00000000-0004-0000-0100-000018000000}"/>
    <hyperlink ref="E29" r:id="rId26" display="http://www.pitonscience.com/index.php/hcats" xr:uid="{00000000-0004-0000-0100-000019000000}"/>
    <hyperlink ref="E30" r:id="rId27" display="https://www.powertrain.com/_site/hcats.aspx" xr:uid="{00000000-0004-0000-0100-00001A000000}"/>
    <hyperlink ref="E31" r:id="rId28" display="https://rigil.com/contract-vehicles/" xr:uid="{00000000-0004-0000-0100-00001B000000}"/>
    <hyperlink ref="E32" r:id="rId29" display="https://www.saic.com/who-we-serve/contracts-and-schedules/gsa-hcats" xr:uid="{00000000-0004-0000-0100-00001C000000}"/>
    <hyperlink ref="E33" r:id="rId30" display="https://www.serco.com/na/contracts/human-capital-and-training-solutions-hcats" xr:uid="{00000000-0004-0000-0100-00001D000000}"/>
    <hyperlink ref="E34" r:id="rId31" display="https://sigmatech.com/contracts/hcats/" xr:uid="{00000000-0004-0000-0100-00001E000000}"/>
    <hyperlink ref="E35" r:id="rId32" display="https://www.gdit.com/about-gdit/contract-vehicles/governmentwide-contracts/hcats-sra/" xr:uid="{00000000-0004-0000-0100-00001F000000}"/>
    <hyperlink ref="E36" r:id="rId33" display="http://www.teamcarney.com/working-with-carney/contract-vehicles/gsa-opm-hcats/" xr:uid="{00000000-0004-0000-0100-000020000000}"/>
    <hyperlink ref="E37" r:id="rId34" display="https://www.northhighland.com/hcats" xr:uid="{00000000-0004-0000-0100-000021000000}"/>
    <hyperlink ref="E38" r:id="rId35" display="https://www.onevaliant.com/hcats" xr:uid="{00000000-0004-0000-0100-000022000000}"/>
  </hyperlinks>
  <pageMargins left="0.2" right="0.2" top="0.2" bottom="0.2" header="0" footer="0"/>
  <pageSetup orientation="landscape"/>
  <tableParts count="2">
    <tablePart r:id="rId36"/>
    <tablePart r:id="rId37"/>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C09"/>
  </sheetPr>
  <dimension ref="A1:E55"/>
  <sheetViews>
    <sheetView workbookViewId="0">
      <pane xSplit="2" ySplit="2" topLeftCell="C3" activePane="bottomRight" state="frozen"/>
      <selection pane="topRight" activeCell="C1" sqref="C1"/>
      <selection pane="bottomLeft" activeCell="A3" sqref="A3"/>
      <selection pane="bottomRight" activeCell="D2" sqref="D2"/>
    </sheetView>
  </sheetViews>
  <sheetFormatPr defaultColWidth="11.25" defaultRowHeight="39" customHeight="1" x14ac:dyDescent="0.35"/>
  <cols>
    <col min="1" max="1" width="14.9140625" customWidth="1"/>
    <col min="2" max="2" width="30.6640625" customWidth="1"/>
    <col min="3" max="3" width="13.08203125" customWidth="1"/>
    <col min="4" max="4" width="27.9140625" customWidth="1"/>
    <col min="5" max="5" width="71.4140625" customWidth="1"/>
  </cols>
  <sheetData>
    <row r="1" spans="1:5" ht="39" customHeight="1" x14ac:dyDescent="0.35">
      <c r="A1" s="11" t="s">
        <v>21</v>
      </c>
      <c r="B1" s="21"/>
      <c r="C1" s="22"/>
      <c r="D1" s="23"/>
      <c r="E1" s="21"/>
    </row>
    <row r="2" spans="1:5" ht="65" customHeight="1" x14ac:dyDescent="0.35">
      <c r="A2" s="14" t="s">
        <v>22</v>
      </c>
      <c r="B2" s="15" t="s">
        <v>17</v>
      </c>
      <c r="C2" s="15" t="s">
        <v>18</v>
      </c>
      <c r="D2" s="24" t="s">
        <v>19</v>
      </c>
      <c r="E2" s="15" t="s">
        <v>20</v>
      </c>
    </row>
    <row r="3" spans="1:5" ht="39" customHeight="1" x14ac:dyDescent="0.35">
      <c r="A3" s="16" t="str">
        <f ca="1">IFERROR(__xludf.DUMMYFUNCTION("Query(importrange(""https://docs.google.com/spreadsheets/d/1t10Foe1vTEZyMDsOA_q-Q29vy-Kz9U_eP3ItSEmmPak/edit#gid=525286931"",""HCaTS Master Contracts info!A2:X137""),""SELECT Col12, Col13, Col16, Col17, Col24 where Col12 is not null order by Col13"",0)"),"1")</f>
        <v>1</v>
      </c>
      <c r="B3" s="17"/>
      <c r="C3" s="18"/>
      <c r="D3" s="25"/>
      <c r="E3" s="19"/>
    </row>
    <row r="4" spans="1:5" ht="39" customHeight="1" x14ac:dyDescent="0.35">
      <c r="A4" s="16" t="str">
        <f ca="1">IFERROR(__xludf.DUMMYFUNCTION("""COMPUTED_VALUE"""),"#VALUE!")</f>
        <v>#VALUE!</v>
      </c>
      <c r="B4" s="17"/>
      <c r="C4" s="18"/>
      <c r="D4" s="25"/>
      <c r="E4" s="19"/>
    </row>
    <row r="5" spans="1:5" ht="39" customHeight="1" x14ac:dyDescent="0.35">
      <c r="A5" s="16" t="str">
        <f ca="1">IFERROR(__xludf.DUMMYFUNCTION("""COMPUTED_VALUE"""),"GS02Q16DCR0034")</f>
        <v>GS02Q16DCR0034</v>
      </c>
      <c r="B5" s="17" t="str">
        <f ca="1">IFERROR(__xludf.DUMMYFUNCTION("""COMPUTED_VALUE"""),"Accenture Federal Services LLC")</f>
        <v>Accenture Federal Services LLC</v>
      </c>
      <c r="C5" s="18" t="str">
        <f ca="1">IFERROR(__xludf.DUMMYFUNCTION("""COMPUTED_VALUE"""),"C47BNA8GM833")</f>
        <v>C47BNA8GM833</v>
      </c>
      <c r="D5" s="25" t="str">
        <f ca="1">IFERROR(__xludf.DUMMYFUNCTION("""COMPUTED_VALUE"""),"800 North Glebe Road, Suite 300, Arlington, VA 22203-2151")</f>
        <v>800 North Glebe Road, Suite 300, Arlington, VA 22203-2151</v>
      </c>
      <c r="E5" s="20" t="str">
        <f ca="1">IFERROR(__xludf.DUMMYFUNCTION("""COMPUTED_VALUE"""),"https://www.accenture.com/us-en/support/us-federal-government/human-capital-training-solutions")</f>
        <v>https://www.accenture.com/us-en/support/us-federal-government/human-capital-training-solutions</v>
      </c>
    </row>
    <row r="6" spans="1:5" ht="39" customHeight="1" x14ac:dyDescent="0.35">
      <c r="A6" s="16" t="str">
        <f ca="1">IFERROR(__xludf.DUMMYFUNCTION("""COMPUTED_VALUE"""),"GS02Q16DCR0036")</f>
        <v>GS02Q16DCR0036</v>
      </c>
      <c r="B6" s="17" t="str">
        <f ca="1">IFERROR(__xludf.DUMMYFUNCTION("""COMPUTED_VALUE"""),"American Institutes for Research in the Behavioral Sciences (AIR)")</f>
        <v>American Institutes for Research in the Behavioral Sciences (AIR)</v>
      </c>
      <c r="C6" s="18" t="str">
        <f ca="1">IFERROR(__xludf.DUMMYFUNCTION("""COMPUTED_VALUE"""),"MCN6J5L6M3T4")</f>
        <v>MCN6J5L6M3T4</v>
      </c>
      <c r="D6" s="25" t="str">
        <f ca="1">IFERROR(__xludf.DUMMYFUNCTION("""COMPUTED_VALUE"""),"1400 Crystal Dr 10th Flr
Arlington, Virginia
22202-3289")</f>
        <v>1400 Crystal Dr 10th Flr
Arlington, Virginia
22202-3289</v>
      </c>
      <c r="E6" s="20" t="str">
        <f ca="1">IFERROR(__xludf.DUMMYFUNCTION("""COMPUTED_VALUE"""),"https://www.air.org/human-capital-and-training-solutions-hcats")</f>
        <v>https://www.air.org/human-capital-and-training-solutions-hcats</v>
      </c>
    </row>
    <row r="7" spans="1:5" ht="39" customHeight="1" x14ac:dyDescent="0.35">
      <c r="A7" s="16" t="str">
        <f ca="1">IFERROR(__xludf.DUMMYFUNCTION("""COMPUTED_VALUE"""),"GS02Q16DCR0110")</f>
        <v>GS02Q16DCR0110</v>
      </c>
      <c r="B7" s="17" t="str">
        <f ca="1">IFERROR(__xludf.DUMMYFUNCTION("""COMPUTED_VALUE"""),"American Systems Corporation")</f>
        <v>American Systems Corporation</v>
      </c>
      <c r="C7" s="18" t="str">
        <f ca="1">IFERROR(__xludf.DUMMYFUNCTION("""COMPUTED_VALUE"""),"CFWRL5LXXX93")</f>
        <v>CFWRL5LXXX93</v>
      </c>
      <c r="D7" s="25" t="str">
        <f ca="1">IFERROR(__xludf.DUMMYFUNCTION("""COMPUTED_VALUE"""),"14151 Park Meadow Drive, Suite 500, Chantilly, VA 20151")</f>
        <v>14151 Park Meadow Drive, Suite 500, Chantilly, VA 20151</v>
      </c>
      <c r="E7" s="20" t="str">
        <f ca="1">IFERROR(__xludf.DUMMYFUNCTION("""COMPUTED_VALUE"""),"https://www.americansystems.com/gsa-contracts#gsa-hcats")</f>
        <v>https://www.americansystems.com/gsa-contracts#gsa-hcats</v>
      </c>
    </row>
    <row r="8" spans="1:5" ht="39" customHeight="1" x14ac:dyDescent="0.35">
      <c r="A8" s="16" t="str">
        <f ca="1">IFERROR(__xludf.DUMMYFUNCTION("""COMPUTED_VALUE"""),"GS02Q16DCR0048")</f>
        <v>GS02Q16DCR0048</v>
      </c>
      <c r="B8" s="17" t="str">
        <f ca="1">IFERROR(__xludf.DUMMYFUNCTION("""COMPUTED_VALUE"""),"Apprio, Inc")</f>
        <v>Apprio, Inc</v>
      </c>
      <c r="C8" s="18" t="str">
        <f ca="1">IFERROR(__xludf.DUMMYFUNCTION("""COMPUTED_VALUE"""),"D6Y7R4WZCUK8")</f>
        <v>D6Y7R4WZCUK8</v>
      </c>
      <c r="D8" s="25" t="str">
        <f ca="1">IFERROR(__xludf.DUMMYFUNCTION("""COMPUTED_VALUE"""),"425 3rd St SW Ste 600, Washington, DC 20024")</f>
        <v>425 3rd St SW Ste 600, Washington, DC 20024</v>
      </c>
      <c r="E8" s="20" t="str">
        <f ca="1">IFERROR(__xludf.DUMMYFUNCTION("""COMPUTED_VALUE"""),"https://www.apprioinc.com/HCATS")</f>
        <v>https://www.apprioinc.com/HCATS</v>
      </c>
    </row>
    <row r="9" spans="1:5" ht="39" customHeight="1" x14ac:dyDescent="0.35">
      <c r="A9" s="16" t="str">
        <f ca="1">IFERROR(__xludf.DUMMYFUNCTION("""COMPUTED_VALUE"""),"GS02Q16DCR0037")</f>
        <v>GS02Q16DCR0037</v>
      </c>
      <c r="B9" s="17" t="str">
        <f ca="1">IFERROR(__xludf.DUMMYFUNCTION("""COMPUTED_VALUE"""),"Atlas Research, LLC")</f>
        <v>Atlas Research, LLC</v>
      </c>
      <c r="C9" s="18" t="str">
        <f ca="1">IFERROR(__xludf.DUMMYFUNCTION("""COMPUTED_VALUE"""),"QQFRHS1UB7D3")</f>
        <v>QQFRHS1UB7D3</v>
      </c>
      <c r="D9" s="25" t="str">
        <f ca="1">IFERROR(__xludf.DUMMYFUNCTION("""COMPUTED_VALUE"""),"805 15th Street NW, Suite 350, Washington, DC 20005")</f>
        <v>805 15th Street NW, Suite 350, Washington, DC 20005</v>
      </c>
      <c r="E9" s="20" t="str">
        <f ca="1">IFERROR(__xludf.DUMMYFUNCTION("""COMPUTED_VALUE"""),"https://www.atlasresearch.us/HCaTS")</f>
        <v>https://www.atlasresearch.us/HCaTS</v>
      </c>
    </row>
    <row r="10" spans="1:5" ht="39" customHeight="1" x14ac:dyDescent="0.35">
      <c r="A10" s="16" t="str">
        <f ca="1">IFERROR(__xludf.DUMMYFUNCTION("""COMPUTED_VALUE"""),"47QREB22D0007")</f>
        <v>47QREB22D0007</v>
      </c>
      <c r="B10" s="17" t="str">
        <f ca="1">IFERROR(__xludf.DUMMYFUNCTION("""COMPUTED_VALUE"""),"Barbaricum, LLC")</f>
        <v>Barbaricum, LLC</v>
      </c>
      <c r="C10" s="18" t="str">
        <f ca="1">IFERROR(__xludf.DUMMYFUNCTION("""COMPUTED_VALUE"""),"GR2RF6CLZJJ9")</f>
        <v>GR2RF6CLZJJ9</v>
      </c>
      <c r="D10" s="25" t="str">
        <f ca="1">IFERROR(__xludf.DUMMYFUNCTION("""COMPUTED_VALUE"""),"1714 N Street, NW, Washington, DC 20036")</f>
        <v>1714 N Street, NW, Washington, DC 20036</v>
      </c>
      <c r="E10" s="20" t="str">
        <f ca="1">IFERROR(__xludf.DUMMYFUNCTION("""COMPUTED_VALUE"""),"https://barbaricum.com/hcats/")</f>
        <v>https://barbaricum.com/hcats/</v>
      </c>
    </row>
    <row r="11" spans="1:5" ht="39" customHeight="1" x14ac:dyDescent="0.35">
      <c r="A11" s="16" t="str">
        <f ca="1">IFERROR(__xludf.DUMMYFUNCTION("""COMPUTED_VALUE"""),"GS02Q16DCR0038")</f>
        <v>GS02Q16DCR0038</v>
      </c>
      <c r="B11" s="17" t="str">
        <f ca="1">IFERROR(__xludf.DUMMYFUNCTION("""COMPUTED_VALUE"""),"Booz Allen Hamilton, Inc")</f>
        <v>Booz Allen Hamilton, Inc</v>
      </c>
      <c r="C11" s="18" t="str">
        <f ca="1">IFERROR(__xludf.DUMMYFUNCTION("""COMPUTED_VALUE"""),"JCBMLGPE6Z71")</f>
        <v>JCBMLGPE6Z71</v>
      </c>
      <c r="D11" s="25" t="str">
        <f ca="1">IFERROR(__xludf.DUMMYFUNCTION("""COMPUTED_VALUE"""),"8283 Greensboro Drive, McLean, VA, 22102")</f>
        <v>8283 Greensboro Drive, McLean, VA, 22102</v>
      </c>
      <c r="E11" s="20" t="str">
        <f ca="1">IFERROR(__xludf.DUMMYFUNCTION("""COMPUTED_VALUE"""),"https://www.boozallen.com/government-contract-vehicles/government-wide-macs.html")</f>
        <v>https://www.boozallen.com/government-contract-vehicles/government-wide-macs.html</v>
      </c>
    </row>
    <row r="12" spans="1:5" ht="39" customHeight="1" x14ac:dyDescent="0.35">
      <c r="A12" s="16" t="str">
        <f ca="1">IFERROR(__xludf.DUMMYFUNCTION("""COMPUTED_VALUE"""),"GS02Q16DCR0039")</f>
        <v>GS02Q16DCR0039</v>
      </c>
      <c r="B12" s="17" t="str">
        <f ca="1">IFERROR(__xludf.DUMMYFUNCTION("""COMPUTED_VALUE"""),"C2 Technologies, Inc")</f>
        <v>C2 Technologies, Inc</v>
      </c>
      <c r="C12" s="18" t="str">
        <f ca="1">IFERROR(__xludf.DUMMYFUNCTION("""COMPUTED_VALUE"""),"L55KAZMLJM25")</f>
        <v>L55KAZMLJM25</v>
      </c>
      <c r="D12" s="25" t="str">
        <f ca="1">IFERROR(__xludf.DUMMYFUNCTION("""COMPUTED_VALUE"""),"1921 Gallows Rd Ste 200, Vienna, VA 22182-3900")</f>
        <v>1921 Gallows Rd Ste 200, Vienna, VA 22182-3900</v>
      </c>
      <c r="E12" s="20" t="str">
        <f ca="1">IFERROR(__xludf.DUMMYFUNCTION("""COMPUTED_VALUE"""),"https://www.c2ti.com/contracts/hcats-contract-solution/")</f>
        <v>https://www.c2ti.com/contracts/hcats-contract-solution/</v>
      </c>
    </row>
    <row r="13" spans="1:5" ht="39" customHeight="1" x14ac:dyDescent="0.35">
      <c r="A13" s="16" t="str">
        <f ca="1">IFERROR(__xludf.DUMMYFUNCTION("""COMPUTED_VALUE"""),"GS02Q16DCR0040")</f>
        <v>GS02Q16DCR0040</v>
      </c>
      <c r="B13" s="17" t="str">
        <f ca="1">IFERROR(__xludf.DUMMYFUNCTION("""COMPUTED_VALUE"""),"Calibre Systems, Inc")</f>
        <v>Calibre Systems, Inc</v>
      </c>
      <c r="C13" s="18" t="str">
        <f ca="1">IFERROR(__xludf.DUMMYFUNCTION("""COMPUTED_VALUE"""),"KHGARY8DHL23")</f>
        <v>KHGARY8DHL23</v>
      </c>
      <c r="D13" s="25" t="str">
        <f ca="1">IFERROR(__xludf.DUMMYFUNCTION("""COMPUTED_VALUE"""),"6361 Walker Lane,
Metro Park, Suite 1100
Alexandria, VA 22310-3275")</f>
        <v>6361 Walker Lane,
Metro Park, Suite 1100
Alexandria, VA 22310-3275</v>
      </c>
      <c r="E13" s="20" t="str">
        <f ca="1">IFERROR(__xludf.DUMMYFUNCTION("""COMPUTED_VALUE"""),"https://www.calibresys.com/partnering/contract-vehicles.shtml")</f>
        <v>https://www.calibresys.com/partnering/contract-vehicles.shtml</v>
      </c>
    </row>
    <row r="14" spans="1:5" ht="39" customHeight="1" x14ac:dyDescent="0.35">
      <c r="A14" s="16" t="str">
        <f ca="1">IFERROR(__xludf.DUMMYFUNCTION("""COMPUTED_VALUE"""),"GS02Q16DCR0043")</f>
        <v>GS02Q16DCR0043</v>
      </c>
      <c r="B14" s="17" t="str">
        <f ca="1">IFERROR(__xludf.DUMMYFUNCTION("""COMPUTED_VALUE"""),"Celerity Government Solutions LLC dba Xcelerate Solutions")</f>
        <v>Celerity Government Solutions LLC dba Xcelerate Solutions</v>
      </c>
      <c r="C14" s="18" t="str">
        <f ca="1">IFERROR(__xludf.DUMMYFUNCTION("""COMPUTED_VALUE"""),"K4V5LZ9H16G5")</f>
        <v>K4V5LZ9H16G5</v>
      </c>
      <c r="D14" s="25" t="str">
        <f ca="1">IFERROR(__xludf.DUMMYFUNCTION("""COMPUTED_VALUE"""),"8401 Greensboro Drive, Suite 930, McLean, VA 22102-3599")</f>
        <v>8401 Greensboro Drive, Suite 930, McLean, VA 22102-3599</v>
      </c>
      <c r="E14" s="20" t="str">
        <f ca="1">IFERROR(__xludf.DUMMYFUNCTION("""COMPUTED_VALUE"""),"https://www.xceleratesolutions.com/about/contracts/gsa-human-capital-and-training-solutions-hcats/")</f>
        <v>https://www.xceleratesolutions.com/about/contracts/gsa-human-capital-and-training-solutions-hcats/</v>
      </c>
    </row>
    <row r="15" spans="1:5" ht="39" customHeight="1" x14ac:dyDescent="0.35">
      <c r="A15" s="16" t="str">
        <f ca="1">IFERROR(__xludf.DUMMYFUNCTION("""COMPUTED_VALUE"""),"GS02Q16DCR0112")</f>
        <v>GS02Q16DCR0112</v>
      </c>
      <c r="B15" s="17" t="str">
        <f ca="1">IFERROR(__xludf.DUMMYFUNCTION("""COMPUTED_VALUE"""),"Cherokee Nation Technology Solutions, LLC")</f>
        <v>Cherokee Nation Technology Solutions, LLC</v>
      </c>
      <c r="C15" s="18" t="str">
        <f ca="1">IFERROR(__xludf.DUMMYFUNCTION("""COMPUTED_VALUE"""),"DUD8NGZXUJ75")</f>
        <v>DUD8NGZXUJ75</v>
      </c>
      <c r="D15" s="25" t="str">
        <f ca="1">IFERROR(__xludf.DUMMYFUNCTION("""COMPUTED_VALUE"""),"777 W. Cherokee St. Catoosa, OK 74015-3235")</f>
        <v>777 W. Cherokee St. Catoosa, OK 74015-3235</v>
      </c>
      <c r="E15" s="20" t="str">
        <f ca="1">IFERROR(__xludf.DUMMYFUNCTION("""COMPUTED_VALUE"""),"https://cherokee-federal.com/about/cherokee-nation-management-and-consulting")</f>
        <v>https://cherokee-federal.com/about/cherokee-nation-management-and-consulting</v>
      </c>
    </row>
    <row r="16" spans="1:5" ht="39" customHeight="1" x14ac:dyDescent="0.35">
      <c r="A16" s="16" t="str">
        <f ca="1">IFERROR(__xludf.DUMMYFUNCTION("""COMPUTED_VALUE"""),"GS02Q16DCR0046")</f>
        <v>GS02Q16DCR0046</v>
      </c>
      <c r="B16" s="17" t="str">
        <f ca="1">IFERROR(__xludf.DUMMYFUNCTION("""COMPUTED_VALUE"""),"Deloitte Consulting LLP")</f>
        <v>Deloitte Consulting LLP</v>
      </c>
      <c r="C16" s="18" t="str">
        <f ca="1">IFERROR(__xludf.DUMMYFUNCTION("""COMPUTED_VALUE"""),"CKV2L9GZKJK3")</f>
        <v>CKV2L9GZKJK3</v>
      </c>
      <c r="D16" s="25" t="str">
        <f ca="1">IFERROR(__xludf.DUMMYFUNCTION("""COMPUTED_VALUE"""),"1919 N Lynn St, Arlington, VA, 22209-1742")</f>
        <v>1919 N Lynn St, Arlington, VA, 22209-1742</v>
      </c>
      <c r="E16" s="20" t="str">
        <f ca="1">IFERROR(__xludf.DUMMYFUNCTION("""COMPUTED_VALUE"""),"https://www2.deloitte.com/us/en/pages/public-sector/solutions/federal-government-contract-vehicles-gsahcats.html")</f>
        <v>https://www2.deloitte.com/us/en/pages/public-sector/solutions/federal-government-contract-vehicles-gsahcats.html</v>
      </c>
    </row>
    <row r="17" spans="1:5" ht="39" customHeight="1" x14ac:dyDescent="0.35">
      <c r="A17" s="16" t="str">
        <f ca="1">IFERROR(__xludf.DUMMYFUNCTION("""COMPUTED_VALUE"""),"47QREB22D0009")</f>
        <v>47QREB22D0009</v>
      </c>
      <c r="B17" s="17" t="str">
        <f ca="1">IFERROR(__xludf.DUMMYFUNCTION("""COMPUTED_VALUE"""),"DSFederal, Inc")</f>
        <v>DSFederal, Inc</v>
      </c>
      <c r="C17" s="18" t="str">
        <f ca="1">IFERROR(__xludf.DUMMYFUNCTION("""COMPUTED_VALUE"""),"WHLSDNWNCGJ5")</f>
        <v>WHLSDNWNCGJ5</v>
      </c>
      <c r="D17" s="25" t="str">
        <f ca="1">IFERROR(__xludf.DUMMYFUNCTION("""COMPUTED_VALUE"""),"1803 Research Blvd., Suite 601B, Rockville, MD 20850")</f>
        <v>1803 Research Blvd., Suite 601B, Rockville, MD 20850</v>
      </c>
      <c r="E17" s="20" t="str">
        <f ca="1">IFERROR(__xludf.DUMMYFUNCTION("""COMPUTED_VALUE"""),"https://www.dsfederal.com/contract-vehicles")</f>
        <v>https://www.dsfederal.com/contract-vehicles</v>
      </c>
    </row>
    <row r="18" spans="1:5" ht="39" customHeight="1" x14ac:dyDescent="0.35">
      <c r="A18" s="16" t="str">
        <f ca="1">IFERROR(__xludf.DUMMYFUNCTION("""COMPUTED_VALUE"""),"47QREB22D0005")</f>
        <v>47QREB22D0005</v>
      </c>
      <c r="B18" s="17" t="str">
        <f ca="1">IFERROR(__xludf.DUMMYFUNCTION("""COMPUTED_VALUE"""),"Dynamis, Inc")</f>
        <v>Dynamis, Inc</v>
      </c>
      <c r="C18" s="18" t="str">
        <f ca="1">IFERROR(__xludf.DUMMYFUNCTION("""COMPUTED_VALUE"""),"JHXKTYRL8JB9")</f>
        <v>JHXKTYRL8JB9</v>
      </c>
      <c r="D18" s="25" t="str">
        <f ca="1">IFERROR(__xludf.DUMMYFUNCTION("""COMPUTED_VALUE"""),"3130 Fairview Park Dr. STE 300, Falls Church, VA 22042-4578 ")</f>
        <v xml:space="preserve">3130 Fairview Park Dr. STE 300, Falls Church, VA 22042-4578 </v>
      </c>
      <c r="E18" s="20" t="str">
        <f ca="1">IFERROR(__xludf.DUMMYFUNCTION("""COMPUTED_VALUE"""),"https://www.dynamis.com/contract-vehicles/hcats/")</f>
        <v>https://www.dynamis.com/contract-vehicles/hcats/</v>
      </c>
    </row>
    <row r="19" spans="1:5" ht="39" customHeight="1" x14ac:dyDescent="0.35">
      <c r="A19" s="16" t="str">
        <f ca="1">IFERROR(__xludf.DUMMYFUNCTION("""COMPUTED_VALUE"""),"47QREB22D0006")</f>
        <v>47QREB22D0006</v>
      </c>
      <c r="B19" s="17" t="str">
        <f ca="1">IFERROR(__xludf.DUMMYFUNCTION("""COMPUTED_VALUE"""),"Eagle Hill Consulting, LLC")</f>
        <v>Eagle Hill Consulting, LLC</v>
      </c>
      <c r="C19" s="18" t="str">
        <f ca="1">IFERROR(__xludf.DUMMYFUNCTION("""COMPUTED_VALUE"""),"PEGRG88NN3T8")</f>
        <v>PEGRG88NN3T8</v>
      </c>
      <c r="D19" s="25" t="str">
        <f ca="1">IFERROR(__xludf.DUMMYFUNCTION("""COMPUTED_VALUE"""),"241 18th Street S., Suite 615, Arlington, VA 22202")</f>
        <v>241 18th Street S., Suite 615, Arlington, VA 22202</v>
      </c>
      <c r="E19" s="20" t="str">
        <f ca="1">IFERROR(__xludf.DUMMYFUNCTION("""COMPUTED_VALUE"""),"https://www.eaglehillconsulting.com/news/eagle-hill-wins-gsa-opm-human-capital-training-solutions-hcats-small-business-contract/")</f>
        <v>https://www.eaglehillconsulting.com/news/eagle-hill-wins-gsa-opm-human-capital-training-solutions-hcats-small-business-contract/</v>
      </c>
    </row>
    <row r="20" spans="1:5" ht="39" customHeight="1" x14ac:dyDescent="0.35">
      <c r="A20" s="16" t="str">
        <f ca="1">IFERROR(__xludf.DUMMYFUNCTION("""COMPUTED_VALUE"""),"GS02Q16DCR0114")</f>
        <v>GS02Q16DCR0114</v>
      </c>
      <c r="B20" s="17" t="str">
        <f ca="1">IFERROR(__xludf.DUMMYFUNCTION("""COMPUTED_VALUE"""),"Fors Marsh Group, LLC")</f>
        <v>Fors Marsh Group, LLC</v>
      </c>
      <c r="C20" s="18" t="str">
        <f ca="1">IFERROR(__xludf.DUMMYFUNCTION("""COMPUTED_VALUE"""),"CSPNRK2TA2X3")</f>
        <v>CSPNRK2TA2X3</v>
      </c>
      <c r="D20" s="25" t="str">
        <f ca="1">IFERROR(__xludf.DUMMYFUNCTION("""COMPUTED_VALUE"""),"1010 N. Glebe Rd, Ste 510, Arlington VA 22201           ")</f>
        <v xml:space="preserve">1010 N. Glebe Rd, Ste 510, Arlington VA 22201           </v>
      </c>
      <c r="E20" s="20" t="str">
        <f ca="1">IFERROR(__xludf.DUMMYFUNCTION("""COMPUTED_VALUE"""),"https://www.forsmarshgroup.com/about/hcats/")</f>
        <v>https://www.forsmarshgroup.com/about/hcats/</v>
      </c>
    </row>
    <row r="21" spans="1:5" ht="39" customHeight="1" x14ac:dyDescent="0.35">
      <c r="A21" s="16" t="str">
        <f ca="1">IFERROR(__xludf.DUMMYFUNCTION("""COMPUTED_VALUE"""),"GS02Q16DCR0049")</f>
        <v>GS02Q16DCR0049</v>
      </c>
      <c r="B21" s="17" t="str">
        <f ca="1">IFERROR(__xludf.DUMMYFUNCTION("""COMPUTED_VALUE"""),"GAP Solutions, Inc")</f>
        <v>GAP Solutions, Inc</v>
      </c>
      <c r="C21" s="18" t="str">
        <f ca="1">IFERROR(__xludf.DUMMYFUNCTION("""COMPUTED_VALUE"""),"F8GUESLHSWJ7")</f>
        <v>F8GUESLHSWJ7</v>
      </c>
      <c r="D21" s="25" t="str">
        <f ca="1">IFERROR(__xludf.DUMMYFUNCTION("""COMPUTED_VALUE"""),"205 Van Buren Street, Suite 205, Herndon, VA, 20170-5336")</f>
        <v>205 Van Buren Street, Suite 205, Herndon, VA, 20170-5336</v>
      </c>
      <c r="E21" s="20" t="str">
        <f ca="1">IFERROR(__xludf.DUMMYFUNCTION("""COMPUTED_VALUE"""),"https://www.gapsi.com/company/contracts/")</f>
        <v>https://www.gapsi.com/company/contracts/</v>
      </c>
    </row>
    <row r="22" spans="1:5" ht="39" customHeight="1" x14ac:dyDescent="0.35">
      <c r="A22" s="16" t="str">
        <f ca="1">IFERROR(__xludf.DUMMYFUNCTION("""COMPUTED_VALUE"""),"GS02Q16DCR0050")</f>
        <v>GS02Q16DCR0050</v>
      </c>
      <c r="B22" s="17" t="str">
        <f ca="1">IFERROR(__xludf.DUMMYFUNCTION("""COMPUTED_VALUE"""),"General Dynamics Information Technology, Inc")</f>
        <v>General Dynamics Information Technology, Inc</v>
      </c>
      <c r="C22" s="18" t="str">
        <f ca="1">IFERROR(__xludf.DUMMYFUNCTION("""COMPUTED_VALUE"""),"SMNWM6HN79X5")</f>
        <v>SMNWM6HN79X5</v>
      </c>
      <c r="D22" s="25" t="str">
        <f ca="1">IFERROR(__xludf.DUMMYFUNCTION("""COMPUTED_VALUE"""),"3150 Fairview Park Dr Ste 100, Falls Church, VA, 22042-4504")</f>
        <v>3150 Fairview Park Dr Ste 100, Falls Church, VA, 22042-4504</v>
      </c>
      <c r="E22" s="20" t="str">
        <f ca="1">IFERROR(__xludf.DUMMYFUNCTION("""COMPUTED_VALUE"""),"https://www.gdit.com/about-gdit/contract-vehicles/governmentwide-contracts/hcats-gdit/")</f>
        <v>https://www.gdit.com/about-gdit/contract-vehicles/governmentwide-contracts/hcats-gdit/</v>
      </c>
    </row>
    <row r="23" spans="1:5" ht="39" customHeight="1" x14ac:dyDescent="0.35">
      <c r="A23" s="16" t="str">
        <f ca="1">IFERROR(__xludf.DUMMYFUNCTION("""COMPUTED_VALUE"""),"GS02Q16DCR0051")</f>
        <v>GS02Q16DCR0051</v>
      </c>
      <c r="B23" s="17" t="str">
        <f ca="1">IFERROR(__xludf.DUMMYFUNCTION("""COMPUTED_VALUE"""),"Golden Key Group, LLC (GKG)")</f>
        <v>Golden Key Group, LLC (GKG)</v>
      </c>
      <c r="C23" s="18" t="str">
        <f ca="1">IFERROR(__xludf.DUMMYFUNCTION("""COMPUTED_VALUE"""),"CJ7MKQHPL145")</f>
        <v>CJ7MKQHPL145</v>
      </c>
      <c r="D23" s="25" t="str">
        <f ca="1">IFERROR(__xludf.DUMMYFUNCTION("""COMPUTED_VALUE"""),"1850 Centennial Park Dr Ste 200, Reston, VA, 20191-1517")</f>
        <v>1850 Centennial Park Dr Ste 200, Reston, VA, 20191-1517</v>
      </c>
      <c r="E23" s="20" t="str">
        <f ca="1">IFERROR(__xludf.DUMMYFUNCTION("""COMPUTED_VALUE"""),"https://www.gkg-hcats.com/")</f>
        <v>https://www.gkg-hcats.com/</v>
      </c>
    </row>
    <row r="24" spans="1:5" ht="39" customHeight="1" x14ac:dyDescent="0.35">
      <c r="A24" s="16" t="str">
        <f ca="1">IFERROR(__xludf.DUMMYFUNCTION("""COMPUTED_VALUE"""),"GS02Q16DCR0064")</f>
        <v>GS02Q16DCR0064</v>
      </c>
      <c r="B24" s="17" t="str">
        <f ca="1">IFERROR(__xludf.DUMMYFUNCTION("""COMPUTED_VALUE"""),"Guidehouse, Inc")</f>
        <v>Guidehouse, Inc</v>
      </c>
      <c r="C24" s="18" t="str">
        <f ca="1">IFERROR(__xludf.DUMMYFUNCTION("""COMPUTED_VALUE"""),"N9NJK877QJK9")</f>
        <v>N9NJK877QJK9</v>
      </c>
      <c r="D24" s="25" t="str">
        <f ca="1">IFERROR(__xludf.DUMMYFUNCTION("""COMPUTED_VALUE"""),"1676 INTERNATIONAL DR STE 800
MCLEAN, VA 22102-3600")</f>
        <v>1676 INTERNATIONAL DR STE 800
MCLEAN, VA 22102-3600</v>
      </c>
      <c r="E24" s="20" t="str">
        <f ca="1">IFERROR(__xludf.DUMMYFUNCTION("""COMPUTED_VALUE"""),"https://guidehouse.com/government-contract-vehicles")</f>
        <v>https://guidehouse.com/government-contract-vehicles</v>
      </c>
    </row>
    <row r="25" spans="1:5" ht="39" customHeight="1" x14ac:dyDescent="0.35">
      <c r="A25" s="16" t="str">
        <f ca="1">IFERROR(__xludf.DUMMYFUNCTION("""COMPUTED_VALUE"""),"GS02Q16DCR0041")</f>
        <v>GS02Q16DCR0041</v>
      </c>
      <c r="B25" s="17" t="str">
        <f ca="1">IFERROR(__xludf.DUMMYFUNCTION("""COMPUTED_VALUE"""),"HII Mission Driven Innovative Solutions Inc")</f>
        <v>HII Mission Driven Innovative Solutions Inc</v>
      </c>
      <c r="C25" s="18" t="str">
        <f ca="1">IFERROR(__xludf.DUMMYFUNCTION("""COMPUTED_VALUE"""),"HHT6NC9UT8Z5")</f>
        <v>HHT6NC9UT8Z5</v>
      </c>
      <c r="D25" s="25" t="str">
        <f ca="1">IFERROR(__xludf.DUMMYFUNCTION("""COMPUTED_VALUE"""),"6767 OLD MADISON PIKE NW STE 670 , HUNTSVILLE, AL 35806-2198")</f>
        <v>6767 OLD MADISON PIKE NW STE 670 , HUNTSVILLE, AL 35806-2198</v>
      </c>
      <c r="E25" s="20" t="str">
        <f ca="1">IFERROR(__xludf.DUMMYFUNCTION("""COMPUTED_VALUE"""),"https://tsd.huntingtoningalls.com/contracts/multiple-agency-contracts/gsa-opm-human-capital-and-training-solutions-hcats/")</f>
        <v>https://tsd.huntingtoningalls.com/contracts/multiple-agency-contracts/gsa-opm-human-capital-and-training-solutions-hcats/</v>
      </c>
    </row>
    <row r="26" spans="1:5" ht="39" customHeight="1" x14ac:dyDescent="0.35">
      <c r="A26" s="16" t="str">
        <f ca="1">IFERROR(__xludf.DUMMYFUNCTION("""COMPUTED_VALUE"""),"GS02Q16DCR0113")</f>
        <v>GS02Q16DCR0113</v>
      </c>
      <c r="B26" s="17" t="str">
        <f ca="1">IFERROR(__xludf.DUMMYFUNCTION("""COMPUTED_VALUE"""),"Human Resources Research Organization (HumRRO)")</f>
        <v>Human Resources Research Organization (HumRRO)</v>
      </c>
      <c r="C26" s="18" t="str">
        <f ca="1">IFERROR(__xludf.DUMMYFUNCTION("""COMPUTED_VALUE"""),"NXP5KAA6CNJ3")</f>
        <v>NXP5KAA6CNJ3</v>
      </c>
      <c r="D26" s="25" t="str">
        <f ca="1">IFERROR(__xludf.DUMMYFUNCTION("""COMPUTED_VALUE"""),"66 Canal Center PLZ STE 700
Alexandria, Virginia")</f>
        <v>66 Canal Center PLZ STE 700
Alexandria, Virginia</v>
      </c>
      <c r="E26" s="20" t="str">
        <f ca="1">IFERROR(__xludf.DUMMYFUNCTION("""COMPUTED_VALUE"""),"https://www.humrro.org/corpsite/contract-vehicles/human-capital-and-training-solutions-hcats/")</f>
        <v>https://www.humrro.org/corpsite/contract-vehicles/human-capital-and-training-solutions-hcats/</v>
      </c>
    </row>
    <row r="27" spans="1:5" ht="39" customHeight="1" x14ac:dyDescent="0.35">
      <c r="A27" s="16" t="str">
        <f ca="1">IFERROR(__xludf.DUMMYFUNCTION("""COMPUTED_VALUE"""),"GS02Q16DCR0053")</f>
        <v>GS02Q16DCR0053</v>
      </c>
      <c r="B27" s="17" t="str">
        <f ca="1">IFERROR(__xludf.DUMMYFUNCTION("""COMPUTED_VALUE"""),"ICF Incorporated, LLC")</f>
        <v>ICF Incorporated, LLC</v>
      </c>
      <c r="C27" s="18" t="str">
        <f ca="1">IFERROR(__xludf.DUMMYFUNCTION("""COMPUTED_VALUE"""),"QHBLBNKKV4U3")</f>
        <v>QHBLBNKKV4U3</v>
      </c>
      <c r="D27" s="25" t="str">
        <f ca="1">IFERROR(__xludf.DUMMYFUNCTION("""COMPUTED_VALUE"""),"1902 Reston Metro Plz, Reston VA 20190
")</f>
        <v xml:space="preserve">1902 Reston Metro Plz, Reston VA 20190
</v>
      </c>
      <c r="E27" s="20" t="str">
        <f ca="1">IFERROR(__xludf.DUMMYFUNCTION("""COMPUTED_VALUE"""),"https://www.icf.com/contracts/gsa/human-capital-and-training-solutions-hcats")</f>
        <v>https://www.icf.com/contracts/gsa/human-capital-and-training-solutions-hcats</v>
      </c>
    </row>
    <row r="28" spans="1:5" ht="39" customHeight="1" x14ac:dyDescent="0.35">
      <c r="A28" s="16" t="str">
        <f ca="1">IFERROR(__xludf.DUMMYFUNCTION("""COMPUTED_VALUE"""),"GS02Q16DCR0052")</f>
        <v>GS02Q16DCR0052</v>
      </c>
      <c r="B28" s="17" t="str">
        <f ca="1">IFERROR(__xludf.DUMMYFUNCTION("""COMPUTED_VALUE"""),"International Business Machines Corporation (IBM)")</f>
        <v>International Business Machines Corporation (IBM)</v>
      </c>
      <c r="C28" s="18" t="str">
        <f ca="1">IFERROR(__xludf.DUMMYFUNCTION("""COMPUTED_VALUE"""),"VV9KH3L99VE3")</f>
        <v>VV9KH3L99VE3</v>
      </c>
      <c r="D28" s="25" t="str">
        <f ca="1">IFERROR(__xludf.DUMMYFUNCTION("""COMPUTED_VALUE"""),"6710 Rockledge Drive, Bethesda, MD 20817")</f>
        <v>6710 Rockledge Drive, Bethesda, MD 20817</v>
      </c>
      <c r="E28" s="20" t="str">
        <f ca="1">IFERROR(__xludf.DUMMYFUNCTION("""COMPUTED_VALUE"""),"https://www.ibm.com/industries/federal/contracts/hcats")</f>
        <v>https://www.ibm.com/industries/federal/contracts/hcats</v>
      </c>
    </row>
    <row r="29" spans="1:5" ht="39" customHeight="1" x14ac:dyDescent="0.35">
      <c r="A29" s="16" t="str">
        <f ca="1">IFERROR(__xludf.DUMMYFUNCTION("""COMPUTED_VALUE"""),"GS02Q16DCR0055")</f>
        <v>GS02Q16DCR0055</v>
      </c>
      <c r="B29" s="17" t="str">
        <f ca="1">IFERROR(__xludf.DUMMYFUNCTION("""COMPUTED_VALUE"""),"KPMG LLP DBA KPMG LLP Federal Services")</f>
        <v>KPMG LLP DBA KPMG LLP Federal Services</v>
      </c>
      <c r="C29" s="18" t="str">
        <f ca="1">IFERROR(__xludf.DUMMYFUNCTION("""COMPUTED_VALUE"""),"MAA3SBSDQVM1")</f>
        <v>MAA3SBSDQVM1</v>
      </c>
      <c r="D29" s="25" t="str">
        <f ca="1">IFERROR(__xludf.DUMMYFUNCTION("""COMPUTED_VALUE"""),"8350 Broad St Ste 900, McLean, VA, 22102-5150")</f>
        <v>8350 Broad St Ste 900, McLean, VA, 22102-5150</v>
      </c>
      <c r="E29" s="19"/>
    </row>
    <row r="30" spans="1:5" ht="39" customHeight="1" x14ac:dyDescent="0.35">
      <c r="A30" s="16" t="str">
        <f ca="1">IFERROR(__xludf.DUMMYFUNCTION("""COMPUTED_VALUE"""),"GS02Q16DCR0057")</f>
        <v>GS02Q16DCR0057</v>
      </c>
      <c r="B30" s="17" t="str">
        <f ca="1">IFERROR(__xludf.DUMMYFUNCTION("""COMPUTED_VALUE"""),"Leidos, Inc")</f>
        <v>Leidos, Inc</v>
      </c>
      <c r="C30" s="18" t="str">
        <f ca="1">IFERROR(__xludf.DUMMYFUNCTION("""COMPUTED_VALUE"""),"MYKLJHTX3MM7")</f>
        <v>MYKLJHTX3MM7</v>
      </c>
      <c r="D30" s="25" t="str">
        <f ca="1">IFERROR(__xludf.DUMMYFUNCTION("""COMPUTED_VALUE"""),"9737 WASHINGTONIAN BLVD STE 100 , GAITHERSBURG, MD 20878-7363")</f>
        <v>9737 WASHINGTONIAN BLVD STE 100 , GAITHERSBURG, MD 20878-7363</v>
      </c>
      <c r="E30" s="20" t="str">
        <f ca="1">IFERROR(__xludf.DUMMYFUNCTION("""COMPUTED_VALUE"""),"https://www.leidos.com/company/contract-vehicles")</f>
        <v>https://www.leidos.com/company/contract-vehicles</v>
      </c>
    </row>
    <row r="31" spans="1:5" ht="39" customHeight="1" x14ac:dyDescent="0.35">
      <c r="A31" s="16" t="str">
        <f ca="1">IFERROR(__xludf.DUMMYFUNCTION("""COMPUTED_VALUE"""),"GS02Q16DCR0056")</f>
        <v>GS02Q16DCR0056</v>
      </c>
      <c r="B31" s="17" t="str">
        <f ca="1">IFERROR(__xludf.DUMMYFUNCTION("""COMPUTED_VALUE"""),"LMI Consulting, LLC ")</f>
        <v xml:space="preserve">LMI Consulting, LLC </v>
      </c>
      <c r="C31" s="18" t="str">
        <f ca="1">IFERROR(__xludf.DUMMYFUNCTION("""COMPUTED_VALUE"""),"QVEKLLJUGHJ7")</f>
        <v>QVEKLLJUGHJ7</v>
      </c>
      <c r="D31" s="25" t="str">
        <f ca="1">IFERROR(__xludf.DUMMYFUNCTION("""COMPUTED_VALUE"""),"7940 Jones Branch Drive, McLean, VA, 22102-3381")</f>
        <v>7940 Jones Branch Drive, McLean, VA, 22102-3381</v>
      </c>
      <c r="E31" s="20" t="str">
        <f ca="1">IFERROR(__xludf.DUMMYFUNCTION("""COMPUTED_VALUE"""),"https://www.lmi.org/contracts/government-wide-contract-vehicles")</f>
        <v>https://www.lmi.org/contracts/government-wide-contract-vehicles</v>
      </c>
    </row>
    <row r="32" spans="1:5" ht="39" customHeight="1" x14ac:dyDescent="0.35">
      <c r="A32" s="16" t="str">
        <f ca="1">IFERROR(__xludf.DUMMYFUNCTION("""COMPUTED_VALUE"""),"GS02Q16DCR0035")</f>
        <v>GS02Q16DCR0035</v>
      </c>
      <c r="B32" s="17" t="str">
        <f ca="1">IFERROR(__xludf.DUMMYFUNCTION("""COMPUTED_VALUE"""),"Magellan Federal Inc. (FKA AFSC)")</f>
        <v>Magellan Federal Inc. (FKA AFSC)</v>
      </c>
      <c r="C32" s="18" t="str">
        <f ca="1">IFERROR(__xludf.DUMMYFUNCTION("""COMPUTED_VALUE"""),"MFYCXCNW4WL5")</f>
        <v>MFYCXCNW4WL5</v>
      </c>
      <c r="D32" s="25" t="str">
        <f ca="1">IFERROR(__xludf.DUMMYFUNCTION("""COMPUTED_VALUE"""),"2800 Shirlington Road, Suite 350, Arlington, VA 22206-3601")</f>
        <v>2800 Shirlington Road, Suite 350, Arlington, VA 22206-3601</v>
      </c>
      <c r="E32" s="20" t="str">
        <f ca="1">IFERROR(__xludf.DUMMYFUNCTION("""COMPUTED_VALUE"""),"https://www.magellanfederal.com/what-we-do/contract-vehicles/")</f>
        <v>https://www.magellanfederal.com/what-we-do/contract-vehicles/</v>
      </c>
    </row>
    <row r="33" spans="1:5" ht="39" customHeight="1" x14ac:dyDescent="0.35">
      <c r="A33" s="16" t="str">
        <f ca="1">IFERROR(__xludf.DUMMYFUNCTION("""COMPUTED_VALUE"""),"GS02Q16DCR0058")</f>
        <v>GS02Q16DCR0058</v>
      </c>
      <c r="B33" s="17" t="str">
        <f ca="1">IFERROR(__xludf.DUMMYFUNCTION("""COMPUTED_VALUE"""),"Management Concepts, Inc")</f>
        <v>Management Concepts, Inc</v>
      </c>
      <c r="C33" s="18" t="str">
        <f ca="1">IFERROR(__xludf.DUMMYFUNCTION("""COMPUTED_VALUE"""),"C2R2ML1DWXW6")</f>
        <v>C2R2ML1DWXW6</v>
      </c>
      <c r="D33" s="25" t="str">
        <f ca="1">IFERROR(__xludf.DUMMYFUNCTION("""COMPUTED_VALUE"""),"8230 Leesburg Pike, Suite 800, Tysons Corner, VA 22182-2641")</f>
        <v>8230 Leesburg Pike, Suite 800, Tysons Corner, VA 22182-2641</v>
      </c>
      <c r="E33" s="20" t="str">
        <f ca="1">IFERROR(__xludf.DUMMYFUNCTION("""COMPUTED_VALUE"""),"https://www.managementconcepts.com/Custom-Learning-Solutions/Solutions/Work-With-Us/HCaTS")</f>
        <v>https://www.managementconcepts.com/Custom-Learning-Solutions/Solutions/Work-With-Us/HCaTS</v>
      </c>
    </row>
    <row r="34" spans="1:5" ht="39" customHeight="1" x14ac:dyDescent="0.35">
      <c r="A34" s="16" t="str">
        <f ca="1">IFERROR(__xludf.DUMMYFUNCTION("""COMPUTED_VALUE"""),"GS02Q16DCR0059")</f>
        <v>GS02Q16DCR0059</v>
      </c>
      <c r="B34" s="17" t="str">
        <f ca="1">IFERROR(__xludf.DUMMYFUNCTION("""COMPUTED_VALUE"""),"Micro Systems Consultants, Inc")</f>
        <v>Micro Systems Consultants, Inc</v>
      </c>
      <c r="C34" s="18" t="str">
        <f ca="1">IFERROR(__xludf.DUMMYFUNCTION("""COMPUTED_VALUE"""),"DK3YDPKR7DA9")</f>
        <v>DK3YDPKR7DA9</v>
      </c>
      <c r="D34" s="25" t="str">
        <f ca="1">IFERROR(__xludf.DUMMYFUNCTION("""COMPUTED_VALUE"""),"2785 Hartland Rd, Falls Church VA 22043-3529")</f>
        <v>2785 Hartland Rd, Falls Church VA 22043-3529</v>
      </c>
      <c r="E34" s="20" t="str">
        <f ca="1">IFERROR(__xludf.DUMMYFUNCTION("""COMPUTED_VALUE"""),"http://msag.net/hcats/")</f>
        <v>http://msag.net/hcats/</v>
      </c>
    </row>
    <row r="35" spans="1:5" ht="39" customHeight="1" x14ac:dyDescent="0.35">
      <c r="A35" s="16" t="str">
        <f ca="1">IFERROR(__xludf.DUMMYFUNCTION("""COMPUTED_VALUE"""),"GS02Q16DCR0060")</f>
        <v>GS02Q16DCR0060</v>
      </c>
      <c r="B35" s="17" t="str">
        <f ca="1">IFERROR(__xludf.DUMMYFUNCTION("""COMPUTED_VALUE"""),"Monster Government Solutions, LLC")</f>
        <v>Monster Government Solutions, LLC</v>
      </c>
      <c r="C35" s="18" t="str">
        <f ca="1">IFERROR(__xludf.DUMMYFUNCTION("""COMPUTED_VALUE"""),"S7DZZ45AEHL5")</f>
        <v>S7DZZ45AEHL5</v>
      </c>
      <c r="D35" s="25" t="str">
        <f ca="1">IFERROR(__xludf.DUMMYFUNCTION("""COMPUTED_VALUE"""),"133 BOSTON POST RD BLDG 15 , WESTON, MA 02493-2525")</f>
        <v>133 BOSTON POST RD BLDG 15 , WESTON, MA 02493-2525</v>
      </c>
      <c r="E35" s="20" t="str">
        <f ca="1">IFERROR(__xludf.DUMMYFUNCTION("""COMPUTED_VALUE"""),"https://www.monstergovernmentsolutions.com/connect/contract-vehicles-working-with-us/human-capital-and-training-solution-hcats-contract")</f>
        <v>https://www.monstergovernmentsolutions.com/connect/contract-vehicles-working-with-us/human-capital-and-training-solution-hcats-contract</v>
      </c>
    </row>
    <row r="36" spans="1:5" ht="39" customHeight="1" x14ac:dyDescent="0.35">
      <c r="A36" s="16" t="str">
        <f ca="1">IFERROR(__xludf.DUMMYFUNCTION("""COMPUTED_VALUE"""),"GS02Q16DCR0044")</f>
        <v>GS02Q16DCR0044</v>
      </c>
      <c r="B36" s="17" t="str">
        <f ca="1">IFERROR(__xludf.DUMMYFUNCTION("""COMPUTED_VALUE"""),"Panum Telecom, LLC")</f>
        <v>Panum Telecom, LLC</v>
      </c>
      <c r="C36" s="18" t="str">
        <f ca="1">IFERROR(__xludf.DUMMYFUNCTION("""COMPUTED_VALUE"""),"GMAUZS5J44M5")</f>
        <v>GMAUZS5J44M5</v>
      </c>
      <c r="D36" s="25" t="str">
        <f ca="1">IFERROR(__xludf.DUMMYFUNCTION("""COMPUTED_VALUE"""),"7315 Wisconsin Ave Ste 800 W, Bethesda, MD, 20814-3202")</f>
        <v>7315 Wisconsin Ave Ste 800 W, Bethesda, MD, 20814-3202</v>
      </c>
      <c r="E36" s="20" t="str">
        <f ca="1">IFERROR(__xludf.DUMMYFUNCTION("""COMPUTED_VALUE"""),"https://www.panum.com/government-contracting")</f>
        <v>https://www.panum.com/government-contracting</v>
      </c>
    </row>
    <row r="37" spans="1:5" ht="39" customHeight="1" x14ac:dyDescent="0.35">
      <c r="A37" s="16" t="str">
        <f ca="1">IFERROR(__xludf.DUMMYFUNCTION("""COMPUTED_VALUE"""),"GS02Q16DCR0061")</f>
        <v>GS02Q16DCR0061</v>
      </c>
      <c r="B37" s="17" t="str">
        <f ca="1">IFERROR(__xludf.DUMMYFUNCTION("""COMPUTED_VALUE"""),"Personnel Decisions Research Institutes, LLC (PDRI)")</f>
        <v>Personnel Decisions Research Institutes, LLC (PDRI)</v>
      </c>
      <c r="C37" s="18" t="str">
        <f ca="1">IFERROR(__xludf.DUMMYFUNCTION("""COMPUTED_VALUE"""),"KGZ7ELR8QJM6")</f>
        <v>KGZ7ELR8QJM6</v>
      </c>
      <c r="D37" s="25" t="str">
        <f ca="1">IFERROR(__xludf.DUMMYFUNCTION("""COMPUTED_VALUE"""),"111 Washington Avenue South, Suite 600
Minneapolis, MN, 55401-2399")</f>
        <v>111 Washington Avenue South, Suite 600
Minneapolis, MN, 55401-2399</v>
      </c>
      <c r="E37" s="20" t="str">
        <f ca="1">IFERROR(__xludf.DUMMYFUNCTION("""COMPUTED_VALUE"""),"https://pdri.com/about-pdri/contract-vehicles/")</f>
        <v>https://pdri.com/about-pdri/contract-vehicles/</v>
      </c>
    </row>
    <row r="38" spans="1:5" ht="39" customHeight="1" x14ac:dyDescent="0.35">
      <c r="A38" s="16" t="str">
        <f ca="1">IFERROR(__xludf.DUMMYFUNCTION("""COMPUTED_VALUE"""),"GS02Q16DCR0062")</f>
        <v>GS02Q16DCR0062</v>
      </c>
      <c r="B38" s="17" t="str">
        <f ca="1">IFERROR(__xludf.DUMMYFUNCTION("""COMPUTED_VALUE"""),"Piton Science &amp; Technology LLC")</f>
        <v>Piton Science &amp; Technology LLC</v>
      </c>
      <c r="C38" s="18" t="str">
        <f ca="1">IFERROR(__xludf.DUMMYFUNCTION("""COMPUTED_VALUE"""),"W8SHUJ42NZ64")</f>
        <v>W8SHUJ42NZ64</v>
      </c>
      <c r="D38" s="25" t="str">
        <f ca="1">IFERROR(__xludf.DUMMYFUNCTION("""COMPUTED_VALUE"""),"2696 Linda Marie Drive, Oakton, VA 22124-1111")</f>
        <v>2696 Linda Marie Drive, Oakton, VA 22124-1111</v>
      </c>
      <c r="E38" s="20" t="str">
        <f ca="1">IFERROR(__xludf.DUMMYFUNCTION("""COMPUTED_VALUE"""),"http://www.pitonscience.com/index.php/hcats")</f>
        <v>http://www.pitonscience.com/index.php/hcats</v>
      </c>
    </row>
    <row r="39" spans="1:5" ht="39" customHeight="1" x14ac:dyDescent="0.35">
      <c r="A39" s="16" t="str">
        <f ca="1">IFERROR(__xludf.DUMMYFUNCTION("""COMPUTED_VALUE"""),"GS02Q16DCR0063")</f>
        <v>GS02Q16DCR0063</v>
      </c>
      <c r="B39" s="17" t="str">
        <f ca="1">IFERROR(__xludf.DUMMYFUNCTION("""COMPUTED_VALUE"""),"PowerTrain, Inc")</f>
        <v>PowerTrain, Inc</v>
      </c>
      <c r="C39" s="18" t="str">
        <f ca="1">IFERROR(__xludf.DUMMYFUNCTION("""COMPUTED_VALUE"""),"FFFBN9JMAKK3")</f>
        <v>FFFBN9JMAKK3</v>
      </c>
      <c r="D39" s="25" t="str">
        <f ca="1">IFERROR(__xludf.DUMMYFUNCTION("""COMPUTED_VALUE"""),"8201 Corporate Drive, Suite 500, Landover MD 20785-2230")</f>
        <v>8201 Corporate Drive, Suite 500, Landover MD 20785-2230</v>
      </c>
      <c r="E39" s="20" t="str">
        <f ca="1">IFERROR(__xludf.DUMMYFUNCTION("""COMPUTED_VALUE"""),"https://www.powertrain.com/_site/hcats.aspx")</f>
        <v>https://www.powertrain.com/_site/hcats.aspx</v>
      </c>
    </row>
    <row r="40" spans="1:5" ht="39" customHeight="1" x14ac:dyDescent="0.35">
      <c r="A40" s="16" t="str">
        <f ca="1">IFERROR(__xludf.DUMMYFUNCTION("""COMPUTED_VALUE"""),"47QREB22D0011")</f>
        <v>47QREB22D0011</v>
      </c>
      <c r="B40" s="17" t="str">
        <f ca="1">IFERROR(__xludf.DUMMYFUNCTION("""COMPUTED_VALUE"""),"Rigil Corporation")</f>
        <v>Rigil Corporation</v>
      </c>
      <c r="C40" s="18" t="str">
        <f ca="1">IFERROR(__xludf.DUMMYFUNCTION("""COMPUTED_VALUE"""),"DYF8NAF1MCH6")</f>
        <v>DYF8NAF1MCH6</v>
      </c>
      <c r="D40" s="25" t="str">
        <f ca="1">IFERROR(__xludf.DUMMYFUNCTION("""COMPUTED_VALUE"""),"4800 Westfields Blvd, Suite 120, Chantilly, VA 20151")</f>
        <v>4800 Westfields Blvd, Suite 120, Chantilly, VA 20151</v>
      </c>
      <c r="E40" s="20" t="str">
        <f ca="1">IFERROR(__xludf.DUMMYFUNCTION("""COMPUTED_VALUE"""),"https://rigil.com/contract-vehicles/")</f>
        <v>https://rigil.com/contract-vehicles/</v>
      </c>
    </row>
    <row r="41" spans="1:5" ht="39" customHeight="1" x14ac:dyDescent="0.35">
      <c r="A41" s="16" t="str">
        <f ca="1">IFERROR(__xludf.DUMMYFUNCTION("""COMPUTED_VALUE"""),"GS02Q16DCR0065")</f>
        <v>GS02Q16DCR0065</v>
      </c>
      <c r="B41" s="17" t="str">
        <f ca="1">IFERROR(__xludf.DUMMYFUNCTION("""COMPUTED_VALUE"""),"Science Applications International Corporation (SAIC)")</f>
        <v>Science Applications International Corporation (SAIC)</v>
      </c>
      <c r="C41" s="18" t="str">
        <f ca="1">IFERROR(__xludf.DUMMYFUNCTION("""COMPUTED_VALUE"""),"MMLKPW9JLX64")</f>
        <v>MMLKPW9JLX64</v>
      </c>
      <c r="D41" s="25" t="str">
        <f ca="1">IFERROR(__xludf.DUMMYFUNCTION("""COMPUTED_VALUE"""),"12010 Sunset Hills Road, Reston, VA 20190-5856")</f>
        <v>12010 Sunset Hills Road, Reston, VA 20190-5856</v>
      </c>
      <c r="E41" s="20" t="str">
        <f ca="1">IFERROR(__xludf.DUMMYFUNCTION("""COMPUTED_VALUE"""),"https://www.saic.com/who-we-serve/contracts-and-schedules/gsa-hcats")</f>
        <v>https://www.saic.com/who-we-serve/contracts-and-schedules/gsa-hcats</v>
      </c>
    </row>
    <row r="42" spans="1:5" ht="39" customHeight="1" x14ac:dyDescent="0.35">
      <c r="A42" s="16" t="str">
        <f ca="1">IFERROR(__xludf.DUMMYFUNCTION("""COMPUTED_VALUE"""),"GS02Q16DCR0066")</f>
        <v>GS02Q16DCR0066</v>
      </c>
      <c r="B42" s="17" t="str">
        <f ca="1">IFERROR(__xludf.DUMMYFUNCTION("""COMPUTED_VALUE"""),"Serco Inc")</f>
        <v>Serco Inc</v>
      </c>
      <c r="C42" s="18" t="str">
        <f ca="1">IFERROR(__xludf.DUMMYFUNCTION("""COMPUTED_VALUE"""),"DKJ1R5ABCN48")</f>
        <v>DKJ1R5ABCN48</v>
      </c>
      <c r="D42" s="25" t="str">
        <f ca="1">IFERROR(__xludf.DUMMYFUNCTION("""COMPUTED_VALUE"""),"12930 Worldgate Drive, Suite 600, Herndon, Virginia 20170")</f>
        <v>12930 Worldgate Drive, Suite 600, Herndon, Virginia 20170</v>
      </c>
      <c r="E42" s="20" t="str">
        <f ca="1">IFERROR(__xludf.DUMMYFUNCTION("""COMPUTED_VALUE"""),"https://www.serco.com/na/contracts/human-capital-and-training-solutions-hcats")</f>
        <v>https://www.serco.com/na/contracts/human-capital-and-training-solutions-hcats</v>
      </c>
    </row>
    <row r="43" spans="1:5" ht="39" customHeight="1" x14ac:dyDescent="0.35">
      <c r="A43" s="16" t="str">
        <f ca="1">IFERROR(__xludf.DUMMYFUNCTION("""COMPUTED_VALUE"""),"GS02Q16DCR0067")</f>
        <v>GS02Q16DCR0067</v>
      </c>
      <c r="B43" s="17" t="str">
        <f ca="1">IFERROR(__xludf.DUMMYFUNCTION("""COMPUTED_VALUE"""),"Sigmatech, Inc")</f>
        <v>Sigmatech, Inc</v>
      </c>
      <c r="C43" s="18" t="str">
        <f ca="1">IFERROR(__xludf.DUMMYFUNCTION("""COMPUTED_VALUE"""),"G2W1NL736LE8")</f>
        <v>G2W1NL736LE8</v>
      </c>
      <c r="D43" s="25" t="str">
        <f ca="1">IFERROR(__xludf.DUMMYFUNCTION("""COMPUTED_VALUE"""),"631 Discovery Dr NW
Huntsville, AL 35806-2801")</f>
        <v>631 Discovery Dr NW
Huntsville, AL 35806-2801</v>
      </c>
      <c r="E43" s="20" t="str">
        <f ca="1">IFERROR(__xludf.DUMMYFUNCTION("""COMPUTED_VALUE"""),"https://sigmatech.com/contracts/hcats/")</f>
        <v>https://sigmatech.com/contracts/hcats/</v>
      </c>
    </row>
    <row r="44" spans="1:5" ht="39" customHeight="1" x14ac:dyDescent="0.35">
      <c r="A44" s="16" t="str">
        <f ca="1">IFERROR(__xludf.DUMMYFUNCTION("""COMPUTED_VALUE"""),"GS02Q16DCR0068")</f>
        <v>GS02Q16DCR0068</v>
      </c>
      <c r="B44" s="17" t="str">
        <f ca="1">IFERROR(__xludf.DUMMYFUNCTION("""COMPUTED_VALUE"""),"SRA International, Inc")</f>
        <v>SRA International, Inc</v>
      </c>
      <c r="C44" s="18" t="str">
        <f ca="1">IFERROR(__xludf.DUMMYFUNCTION("""COMPUTED_VALUE"""),"NYM8TAUFLXP3")</f>
        <v>NYM8TAUFLXP3</v>
      </c>
      <c r="D44" s="25" t="str">
        <f ca="1">IFERROR(__xludf.DUMMYFUNCTION("""COMPUTED_VALUE"""),"15036 Conference Center Drive, Chantilly, VA 20151")</f>
        <v>15036 Conference Center Drive, Chantilly, VA 20151</v>
      </c>
      <c r="E44" s="20" t="str">
        <f ca="1">IFERROR(__xludf.DUMMYFUNCTION("""COMPUTED_VALUE"""),"https://www.gdit.com/about-gdit/contract-vehicles/governmentwide-contracts/hcats-sra/")</f>
        <v>https://www.gdit.com/about-gdit/contract-vehicles/governmentwide-contracts/hcats-sra/</v>
      </c>
    </row>
    <row r="45" spans="1:5" ht="39" customHeight="1" x14ac:dyDescent="0.35">
      <c r="A45" s="16" t="str">
        <f ca="1">IFERROR(__xludf.DUMMYFUNCTION("""COMPUTED_VALUE"""),"GS02Q16DCR0069")</f>
        <v>GS02Q16DCR0069</v>
      </c>
      <c r="B45" s="17" t="str">
        <f ca="1">IFERROR(__xludf.DUMMYFUNCTION("""COMPUTED_VALUE"""),"Suntiva, LLC")</f>
        <v>Suntiva, LLC</v>
      </c>
      <c r="C45" s="18" t="str">
        <f ca="1">IFERROR(__xludf.DUMMYFUNCTION("""COMPUTED_VALUE"""),"L61FBMJQ36A3")</f>
        <v>L61FBMJQ36A3</v>
      </c>
      <c r="D45" s="25" t="str">
        <f ca="1">IFERROR(__xludf.DUMMYFUNCTION("""COMPUTED_VALUE"""),"7940 Jones Branch Dr, STE T45, Mclean, VA 22102-3218")</f>
        <v>7940 Jones Branch Dr, STE T45, Mclean, VA 22102-3218</v>
      </c>
      <c r="E45" s="20" t="str">
        <f ca="1">IFERROR(__xludf.DUMMYFUNCTION("""COMPUTED_VALUE"""),"https://www.suntiva.com/contracts/hcats/")</f>
        <v>https://www.suntiva.com/contracts/hcats/</v>
      </c>
    </row>
    <row r="46" spans="1:5" ht="39" customHeight="1" x14ac:dyDescent="0.35">
      <c r="A46" s="16" t="str">
        <f ca="1">IFERROR(__xludf.DUMMYFUNCTION("""COMPUTED_VALUE"""),"GS02Q16DCR0042")</f>
        <v>GS02Q16DCR0042</v>
      </c>
      <c r="B46" s="17" t="str">
        <f ca="1">IFERROR(__xludf.DUMMYFUNCTION("""COMPUTED_VALUE"""),"Team Carney, Inc")</f>
        <v>Team Carney, Inc</v>
      </c>
      <c r="C46" s="18" t="str">
        <f ca="1">IFERROR(__xludf.DUMMYFUNCTION("""COMPUTED_VALUE"""),"KCJVUZCD13K3")</f>
        <v>KCJVUZCD13K3</v>
      </c>
      <c r="D46" s="25" t="str">
        <f ca="1">IFERROR(__xludf.DUMMYFUNCTION("""COMPUTED_VALUE"""),"7621 Admiral Dr.
Alexandria, VA 22308-1071
")</f>
        <v xml:space="preserve">7621 Admiral Dr.
Alexandria, VA 22308-1071
</v>
      </c>
      <c r="E46" s="20" t="str">
        <f ca="1">IFERROR(__xludf.DUMMYFUNCTION("""COMPUTED_VALUE"""),"http://www.teamcarney.com/working-with-carney/contract-vehicles/gsa-opm-hcats/")</f>
        <v>http://www.teamcarney.com/working-with-carney/contract-vehicles/gsa-opm-hcats/</v>
      </c>
    </row>
    <row r="47" spans="1:5" ht="39" customHeight="1" x14ac:dyDescent="0.35">
      <c r="A47" s="16" t="str">
        <f ca="1">IFERROR(__xludf.DUMMYFUNCTION("""COMPUTED_VALUE"""),"GS02Q16DCR0070")</f>
        <v>GS02Q16DCR0070</v>
      </c>
      <c r="B47" s="17" t="str">
        <f ca="1">IFERROR(__xludf.DUMMYFUNCTION("""COMPUTED_VALUE"""),"The Center for Organizational Excellence, Inc")</f>
        <v>The Center for Organizational Excellence, Inc</v>
      </c>
      <c r="C47" s="18" t="str">
        <f ca="1">IFERROR(__xludf.DUMMYFUNCTION("""COMPUTED_VALUE"""),"RS3WLFN3TDH6")</f>
        <v>RS3WLFN3TDH6</v>
      </c>
      <c r="D47" s="25" t="str">
        <f ca="1">IFERROR(__xludf.DUMMYFUNCTION("""COMPUTED_VALUE"""),"15204 Omega Drive Suite 300, Rockville, MD 20850-3218")</f>
        <v>15204 Omega Drive Suite 300, Rockville, MD 20850-3218</v>
      </c>
      <c r="E47" s="20" t="str">
        <f ca="1">IFERROR(__xludf.DUMMYFUNCTION("""COMPUTED_VALUE"""),"https://center4oe.com/contract-vehicles/#.Yfv_7erYo2w")</f>
        <v>https://center4oe.com/contract-vehicles/#.Yfv_7erYo2w</v>
      </c>
    </row>
    <row r="48" spans="1:5" ht="39" customHeight="1" x14ac:dyDescent="0.35">
      <c r="A48" s="16" t="str">
        <f ca="1">IFERROR(__xludf.DUMMYFUNCTION("""COMPUTED_VALUE"""),"GS02Q16DCR0071")</f>
        <v>GS02Q16DCR0071</v>
      </c>
      <c r="B48" s="17" t="str">
        <f ca="1">IFERROR(__xludf.DUMMYFUNCTION("""COMPUTED_VALUE"""),"The North Highland Company, LLC")</f>
        <v>The North Highland Company, LLC</v>
      </c>
      <c r="C48" s="18" t="str">
        <f ca="1">IFERROR(__xludf.DUMMYFUNCTION("""COMPUTED_VALUE"""),"DZHAKNC8MJ55")</f>
        <v>DZHAKNC8MJ55</v>
      </c>
      <c r="D48" s="25" t="str">
        <f ca="1">IFERROR(__xludf.DUMMYFUNCTION("""COMPUTED_VALUE"""),"3333 Piedmont Road NE Suite 1000 Atlanta, GA 30305")</f>
        <v>3333 Piedmont Road NE Suite 1000 Atlanta, GA 30305</v>
      </c>
      <c r="E48" s="20" t="str">
        <f ca="1">IFERROR(__xludf.DUMMYFUNCTION("""COMPUTED_VALUE"""),"https://www.northhighland.com/hcats")</f>
        <v>https://www.northhighland.com/hcats</v>
      </c>
    </row>
    <row r="49" spans="1:5" ht="39" customHeight="1" x14ac:dyDescent="0.35">
      <c r="A49" s="16" t="str">
        <f ca="1">IFERROR(__xludf.DUMMYFUNCTION("""COMPUTED_VALUE"""),"GS02Q16DCR0045")</f>
        <v>GS02Q16DCR0045</v>
      </c>
      <c r="B49" s="17" t="str">
        <f ca="1">IFERROR(__xludf.DUMMYFUNCTION("""COMPUTED_VALUE"""),"Valiant Global Defense Services, Inc")</f>
        <v>Valiant Global Defense Services, Inc</v>
      </c>
      <c r="C49" s="18" t="str">
        <f ca="1">IFERROR(__xludf.DUMMYFUNCTION("""COMPUTED_VALUE"""),"PD3UQQ22NQW1")</f>
        <v>PD3UQQ22NQW1</v>
      </c>
      <c r="D49" s="25" t="str">
        <f ca="1">IFERROR(__xludf.DUMMYFUNCTION("""COMPUTED_VALUE"""),"Valiant Integrated Services
2355 Dulles Corner Blvd, Ste 200
Herndon, VA  20171")</f>
        <v>Valiant Integrated Services
2355 Dulles Corner Blvd, Ste 200
Herndon, VA  20171</v>
      </c>
      <c r="E49" s="20" t="str">
        <f ca="1">IFERROR(__xludf.DUMMYFUNCTION("""COMPUTED_VALUE"""),"https://www.onevaliant.com/hcats")</f>
        <v>https://www.onevaliant.com/hcats</v>
      </c>
    </row>
    <row r="50" spans="1:5" ht="39" customHeight="1" x14ac:dyDescent="0.35">
      <c r="A50" s="16" t="str">
        <f ca="1">IFERROR(__xludf.DUMMYFUNCTION("""COMPUTED_VALUE"""),"47QREB24D0001")</f>
        <v>47QREB24D0001</v>
      </c>
      <c r="B50" s="17" t="str">
        <f ca="1">IFERROR(__xludf.DUMMYFUNCTION("""COMPUTED_VALUE"""),"Wheelhouse Group, LLC")</f>
        <v>Wheelhouse Group, LLC</v>
      </c>
      <c r="C50" s="18" t="str">
        <f ca="1">IFERROR(__xludf.DUMMYFUNCTION("""COMPUTED_VALUE"""),"MLX8H8NN5HN1")</f>
        <v>MLX8H8NN5HN1</v>
      </c>
      <c r="D50" s="25" t="str">
        <f ca="1">IFERROR(__xludf.DUMMYFUNCTION("""COMPUTED_VALUE"""),"3100 Clarendon Blvd., Suite 400, Arlington, VA 22201")</f>
        <v>3100 Clarendon Blvd., Suite 400, Arlington, VA 22201</v>
      </c>
      <c r="E50" s="20" t="str">
        <f ca="1">IFERROR(__xludf.DUMMYFUNCTION("""COMPUTED_VALUE"""),"https://wheelhousegroup.com/human-capital-and-training-solutions-hcats-small-business-sb/")</f>
        <v>https://wheelhousegroup.com/human-capital-and-training-solutions-hcats-small-business-sb/</v>
      </c>
    </row>
    <row r="51" spans="1:5" ht="39" customHeight="1" x14ac:dyDescent="0.35">
      <c r="A51" s="16" t="str">
        <f ca="1">IFERROR(__xludf.DUMMYFUNCTION("""COMPUTED_VALUE"""),"GS02Q16DCR0072")</f>
        <v>GS02Q16DCR0072</v>
      </c>
      <c r="B51" s="17" t="str">
        <f ca="1">IFERROR(__xludf.DUMMYFUNCTION("""COMPUTED_VALUE"""),"Your Recruiting Company, Inc (YRCI)")</f>
        <v>Your Recruiting Company, Inc (YRCI)</v>
      </c>
      <c r="C51" s="18" t="str">
        <f ca="1">IFERROR(__xludf.DUMMYFUNCTION("""COMPUTED_VALUE"""),"ECEBCMT23L95")</f>
        <v>ECEBCMT23L95</v>
      </c>
      <c r="D51" s="25" t="str">
        <f ca="1">IFERROR(__xludf.DUMMYFUNCTION("""COMPUTED_VALUE"""),"11710 Plaza America Drive, Suite 920 Reston, VA 20190-6711 USA")</f>
        <v>11710 Plaza America Drive, Suite 920 Reston, VA 20190-6711 USA</v>
      </c>
      <c r="E51" s="20" t="str">
        <f ca="1">IFERROR(__xludf.DUMMYFUNCTION("""COMPUTED_VALUE"""),"https://yrci.com/hcats/")</f>
        <v>https://yrci.com/hcats/</v>
      </c>
    </row>
    <row r="52" spans="1:5" ht="39" customHeight="1" x14ac:dyDescent="0.35">
      <c r="A52" s="16"/>
      <c r="B52" s="17"/>
      <c r="C52" s="18"/>
      <c r="D52" s="25"/>
      <c r="E52" s="19"/>
    </row>
    <row r="53" spans="1:5" ht="39" customHeight="1" x14ac:dyDescent="0.35">
      <c r="A53" s="16"/>
      <c r="B53" s="17"/>
      <c r="C53" s="18"/>
      <c r="D53" s="25"/>
      <c r="E53" s="19"/>
    </row>
    <row r="54" spans="1:5" ht="39" customHeight="1" x14ac:dyDescent="0.35">
      <c r="A54" s="16"/>
      <c r="B54" s="17"/>
      <c r="C54" s="18"/>
      <c r="D54" s="25"/>
      <c r="E54" s="19"/>
    </row>
    <row r="55" spans="1:5" ht="39" customHeight="1" x14ac:dyDescent="0.35">
      <c r="A55" s="16"/>
      <c r="B55" s="17"/>
      <c r="C55" s="18"/>
      <c r="D55" s="25"/>
      <c r="E55" s="19"/>
    </row>
  </sheetData>
  <hyperlinks>
    <hyperlink ref="E5" r:id="rId1" display="https://www.accenture.com/us-en/support/us-federal-government/human-capital-training-solutions" xr:uid="{00000000-0004-0000-0200-000000000000}"/>
    <hyperlink ref="E6" r:id="rId2" display="https://www.air.org/human-capital-and-training-solutions-hcats" xr:uid="{00000000-0004-0000-0200-000001000000}"/>
    <hyperlink ref="E7" r:id="rId3" location="gsa-hcats" display="https://www.americansystems.com/gsa-contracts - gsa-hcats" xr:uid="{00000000-0004-0000-0200-000002000000}"/>
    <hyperlink ref="E8" r:id="rId4" display="https://www.apprioinc.com/HCATS" xr:uid="{00000000-0004-0000-0200-000003000000}"/>
    <hyperlink ref="E9" r:id="rId5" display="https://www.atlasresearch.us/HCaTS" xr:uid="{00000000-0004-0000-0200-000004000000}"/>
    <hyperlink ref="E10" r:id="rId6" display="https://barbaricum.com/hcats/" xr:uid="{00000000-0004-0000-0200-000005000000}"/>
    <hyperlink ref="E11" r:id="rId7" display="https://www.boozallen.com/government-contract-vehicles/government-wide-macs.html" xr:uid="{00000000-0004-0000-0200-000006000000}"/>
    <hyperlink ref="E12" r:id="rId8" display="https://www.c2ti.com/contracts/hcats-contract-solution/" xr:uid="{00000000-0004-0000-0200-000007000000}"/>
    <hyperlink ref="E13" r:id="rId9" display="https://www.calibresys.com/partnering/contract-vehicles.shtml" xr:uid="{00000000-0004-0000-0200-000008000000}"/>
    <hyperlink ref="E14" r:id="rId10" display="https://www.xceleratesolutions.com/about/contracts/gsa-human-capital-and-training-solutions-hcats/" xr:uid="{00000000-0004-0000-0200-000009000000}"/>
    <hyperlink ref="E15" r:id="rId11" display="https://cherokee-federal.com/about/cherokee-nation-management-and-consulting" xr:uid="{00000000-0004-0000-0200-00000A000000}"/>
    <hyperlink ref="E16" r:id="rId12" display="https://www2.deloitte.com/us/en/pages/public-sector/solutions/federal-government-contract-vehicles-gsahcats.html" xr:uid="{00000000-0004-0000-0200-00000B000000}"/>
    <hyperlink ref="E17" r:id="rId13" display="https://www.dsfederal.com/contract-vehicles" xr:uid="{00000000-0004-0000-0200-00000C000000}"/>
    <hyperlink ref="E18" r:id="rId14" display="https://www.dynamis.com/contract-vehicles/hcats/" xr:uid="{00000000-0004-0000-0200-00000D000000}"/>
    <hyperlink ref="E19" r:id="rId15" display="https://www.eaglehillconsulting.com/news/eagle-hill-wins-gsa-opm-human-capital-training-solutions-hcats-small-business-contract/" xr:uid="{00000000-0004-0000-0200-00000E000000}"/>
    <hyperlink ref="E20" r:id="rId16" display="https://www.forsmarshgroup.com/about/hcats/" xr:uid="{00000000-0004-0000-0200-00000F000000}"/>
    <hyperlink ref="E21" r:id="rId17" display="https://www.gapsi.com/company/contracts/" xr:uid="{00000000-0004-0000-0200-000010000000}"/>
    <hyperlink ref="E22" r:id="rId18" display="https://www.gdit.com/about-gdit/contract-vehicles/governmentwide-contracts/hcats-gdit/" xr:uid="{00000000-0004-0000-0200-000011000000}"/>
    <hyperlink ref="E23" r:id="rId19" display="https://www.gkg-hcats.com/" xr:uid="{00000000-0004-0000-0200-000012000000}"/>
    <hyperlink ref="E24" r:id="rId20" display="https://guidehouse.com/government-contract-vehicles" xr:uid="{00000000-0004-0000-0200-000013000000}"/>
    <hyperlink ref="E25" r:id="rId21" display="https://tsd.huntingtoningalls.com/contracts/multiple-agency-contracts/gsa-opm-human-capital-and-training-solutions-hcats/" xr:uid="{00000000-0004-0000-0200-000014000000}"/>
    <hyperlink ref="E26" r:id="rId22" display="https://www.humrro.org/corpsite/contract-vehicles/human-capital-and-training-solutions-hcats/" xr:uid="{00000000-0004-0000-0200-000015000000}"/>
    <hyperlink ref="E27" r:id="rId23" display="https://www.icf.com/contracts/gsa/human-capital-and-training-solutions-hcats" xr:uid="{00000000-0004-0000-0200-000016000000}"/>
    <hyperlink ref="E28" r:id="rId24" display="https://www.ibm.com/industries/federal/contracts/hcats" xr:uid="{00000000-0004-0000-0200-000017000000}"/>
    <hyperlink ref="E30" r:id="rId25" display="https://www.leidos.com/company/contract-vehicles" xr:uid="{00000000-0004-0000-0200-000018000000}"/>
    <hyperlink ref="E31" r:id="rId26" display="https://www.lmi.org/contracts/government-wide-contract-vehicles" xr:uid="{00000000-0004-0000-0200-000019000000}"/>
    <hyperlink ref="E32" r:id="rId27" display="https://www.magellanfederal.com/what-we-do/contract-vehicles/" xr:uid="{00000000-0004-0000-0200-00001A000000}"/>
    <hyperlink ref="E33" r:id="rId28" display="https://www.managementconcepts.com/Custom-Learning-Solutions/Solutions/Work-With-Us/HCaTS" xr:uid="{00000000-0004-0000-0200-00001B000000}"/>
    <hyperlink ref="E34" r:id="rId29" display="http://msag.net/hcats/" xr:uid="{00000000-0004-0000-0200-00001C000000}"/>
    <hyperlink ref="E35" r:id="rId30" display="https://www.monstergovernmentsolutions.com/connect/contract-vehicles-working-with-us/human-capital-and-training-solution-hcats-contract" xr:uid="{00000000-0004-0000-0200-00001D000000}"/>
    <hyperlink ref="E36" r:id="rId31" display="https://www.panum.com/government-contracting" xr:uid="{00000000-0004-0000-0200-00001E000000}"/>
    <hyperlink ref="E37" r:id="rId32" display="https://pdri.com/about-pdri/contract-vehicles/" xr:uid="{00000000-0004-0000-0200-00001F000000}"/>
    <hyperlink ref="E38" r:id="rId33" display="http://www.pitonscience.com/index.php/hcats" xr:uid="{00000000-0004-0000-0200-000020000000}"/>
    <hyperlink ref="E39" r:id="rId34" display="https://www.powertrain.com/_site/hcats.aspx" xr:uid="{00000000-0004-0000-0200-000021000000}"/>
    <hyperlink ref="E40" r:id="rId35" display="https://rigil.com/contract-vehicles/" xr:uid="{00000000-0004-0000-0200-000022000000}"/>
    <hyperlink ref="E41" r:id="rId36" display="https://www.saic.com/who-we-serve/contracts-and-schedules/gsa-hcats" xr:uid="{00000000-0004-0000-0200-000023000000}"/>
    <hyperlink ref="E42" r:id="rId37" display="https://www.serco.com/na/contracts/human-capital-and-training-solutions-hcats" xr:uid="{00000000-0004-0000-0200-000024000000}"/>
    <hyperlink ref="E43" r:id="rId38" display="https://sigmatech.com/contracts/hcats/" xr:uid="{00000000-0004-0000-0200-000025000000}"/>
    <hyperlink ref="E44" r:id="rId39" display="https://www.gdit.com/about-gdit/contract-vehicles/governmentwide-contracts/hcats-sra/" xr:uid="{00000000-0004-0000-0200-000026000000}"/>
    <hyperlink ref="E45" r:id="rId40" display="https://www.suntiva.com/contracts/hcats/" xr:uid="{00000000-0004-0000-0200-000027000000}"/>
    <hyperlink ref="E46" r:id="rId41" display="http://www.teamcarney.com/working-with-carney/contract-vehicles/gsa-opm-hcats/" xr:uid="{00000000-0004-0000-0200-000028000000}"/>
    <hyperlink ref="E47" r:id="rId42" location=".Yfv_7erYo2w" display="https://center4oe.com/contract-vehicles/ - .Yfv_7erYo2w" xr:uid="{00000000-0004-0000-0200-000029000000}"/>
    <hyperlink ref="E48" r:id="rId43" display="https://www.northhighland.com/hcats" xr:uid="{00000000-0004-0000-0200-00002A000000}"/>
    <hyperlink ref="E49" r:id="rId44" display="https://www.onevaliant.com/hcats" xr:uid="{00000000-0004-0000-0200-00002B000000}"/>
    <hyperlink ref="E50" r:id="rId45" display="https://wheelhousegroup.com/human-capital-and-training-solutions-hcats-small-business-sb/" xr:uid="{00000000-0004-0000-0200-00002C000000}"/>
    <hyperlink ref="E51" r:id="rId46" display="https://yrci.com/hcats/" xr:uid="{00000000-0004-0000-0200-00002D000000}"/>
  </hyperlinks>
  <pageMargins left="0.2" right="0.2" top="0.2" bottom="0.2" header="0" footer="0"/>
  <pageSetup orientation="landscape"/>
  <tableParts count="2">
    <tablePart r:id="rId47"/>
    <tablePart r:id="rId48"/>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1155CC"/>
  </sheetPr>
  <dimension ref="A1:L639"/>
  <sheetViews>
    <sheetView workbookViewId="0">
      <pane xSplit="2" ySplit="3" topLeftCell="C4" activePane="bottomRight" state="frozen"/>
      <selection pane="topRight" activeCell="C1" sqref="C1"/>
      <selection pane="bottomLeft" activeCell="A4" sqref="A4"/>
      <selection pane="bottomRight" activeCell="B2" sqref="B2:B3"/>
    </sheetView>
  </sheetViews>
  <sheetFormatPr defaultColWidth="11.25" defaultRowHeight="35.5" customHeight="1" x14ac:dyDescent="0.35"/>
  <cols>
    <col min="1" max="1" width="15.6640625" customWidth="1"/>
    <col min="2" max="2" width="30.6640625" customWidth="1"/>
    <col min="3" max="3" width="12.75" customWidth="1"/>
    <col min="4" max="4" width="27.9140625" customWidth="1"/>
    <col min="5" max="8" width="7" customWidth="1"/>
    <col min="9" max="9" width="8.33203125" customWidth="1"/>
    <col min="10" max="11" width="7" customWidth="1"/>
    <col min="12" max="12" width="44.58203125" customWidth="1"/>
  </cols>
  <sheetData>
    <row r="1" spans="1:12" ht="35.5" customHeight="1" x14ac:dyDescent="0.35">
      <c r="A1" s="26" t="s">
        <v>23</v>
      </c>
      <c r="B1" s="27"/>
      <c r="C1" s="28"/>
      <c r="D1" s="27"/>
      <c r="E1" s="29"/>
      <c r="F1" s="29"/>
      <c r="G1" s="30"/>
      <c r="H1" s="30"/>
      <c r="I1" s="31"/>
      <c r="J1" s="31"/>
      <c r="K1" s="31"/>
      <c r="L1" s="32"/>
    </row>
    <row r="2" spans="1:12" ht="35.5" customHeight="1" x14ac:dyDescent="0.35">
      <c r="A2" s="81" t="s">
        <v>24</v>
      </c>
      <c r="B2" s="83" t="s">
        <v>17</v>
      </c>
      <c r="C2" s="83" t="s">
        <v>18</v>
      </c>
      <c r="D2" s="83" t="s">
        <v>19</v>
      </c>
      <c r="E2" s="85" t="s">
        <v>25</v>
      </c>
      <c r="F2" s="86"/>
      <c r="G2" s="86"/>
      <c r="H2" s="86"/>
      <c r="I2" s="86"/>
      <c r="J2" s="86"/>
      <c r="K2" s="87"/>
      <c r="L2" s="83" t="s">
        <v>20</v>
      </c>
    </row>
    <row r="3" spans="1:12" ht="35.5" customHeight="1" x14ac:dyDescent="0.35">
      <c r="A3" s="82"/>
      <c r="B3" s="84"/>
      <c r="C3" s="84"/>
      <c r="D3" s="84"/>
      <c r="E3" s="33" t="s">
        <v>26</v>
      </c>
      <c r="F3" s="34" t="s">
        <v>27</v>
      </c>
      <c r="G3" s="34" t="s">
        <v>28</v>
      </c>
      <c r="H3" s="34" t="s">
        <v>29</v>
      </c>
      <c r="I3" s="34" t="s">
        <v>30</v>
      </c>
      <c r="J3" s="34" t="s">
        <v>31</v>
      </c>
      <c r="K3" s="35" t="s">
        <v>32</v>
      </c>
      <c r="L3" s="84"/>
    </row>
    <row r="4" spans="1:12" ht="35.5" customHeight="1" x14ac:dyDescent="0.35">
      <c r="A4" s="36" t="str">
        <f ca="1">IFERROR(__xludf.DUMMYFUNCTION("Query(importrange(""https://docs.google.com/spreadsheets/d/1t10Foe1vTEZyMDsOA_q-Q29vy-Kz9U_eP3ItSEmmPak/edit#gid=525286931"",""HCaTS Master Contracts info!A2:AN137""),""SELECT Col2, Col13, Col16, Col17, Col32, Col33, Col34, Col35, Col36, Col37, Col38, Col"&amp;"24 where Col2 is not null order by Col13"",0)"),"1")</f>
        <v>1</v>
      </c>
      <c r="B4" s="37"/>
      <c r="C4" s="38"/>
      <c r="D4" s="39"/>
      <c r="E4" s="40" t="str">
        <f ca="1">IFERROR(__xludf.DUMMYFUNCTION("""COMPUTED_VALUE"""),"0")</f>
        <v>0</v>
      </c>
      <c r="F4" s="40" t="str">
        <f ca="1">IFERROR(__xludf.DUMMYFUNCTION("""COMPUTED_VALUE"""),"0")</f>
        <v>0</v>
      </c>
      <c r="G4" s="40" t="str">
        <f ca="1">IFERROR(__xludf.DUMMYFUNCTION("""COMPUTED_VALUE"""),"0")</f>
        <v>0</v>
      </c>
      <c r="H4" s="40" t="str">
        <f ca="1">IFERROR(__xludf.DUMMYFUNCTION("""COMPUTED_VALUE"""),"0")</f>
        <v>0</v>
      </c>
      <c r="I4" s="40" t="str">
        <f ca="1">IFERROR(__xludf.DUMMYFUNCTION("""COMPUTED_VALUE"""),"0")</f>
        <v>0</v>
      </c>
      <c r="J4" s="40" t="str">
        <f ca="1">IFERROR(__xludf.DUMMYFUNCTION("""COMPUTED_VALUE"""),"0")</f>
        <v>0</v>
      </c>
      <c r="K4" s="40" t="str">
        <f ca="1">IFERROR(__xludf.DUMMYFUNCTION("""COMPUTED_VALUE"""),"0")</f>
        <v>0</v>
      </c>
      <c r="L4" s="39"/>
    </row>
    <row r="5" spans="1:12" ht="35.5" customHeight="1" x14ac:dyDescent="0.35">
      <c r="A5" s="41" t="str">
        <f ca="1">IFERROR(__xludf.DUMMYFUNCTION("""COMPUTED_VALUE"""),"GS02Q16DCR0073")</f>
        <v>GS02Q16DCR0073</v>
      </c>
      <c r="B5" s="42" t="str">
        <f ca="1">IFERROR(__xludf.DUMMYFUNCTION("""COMPUTED_VALUE"""),"A P Ventures, LLC")</f>
        <v>A P Ventures, LLC</v>
      </c>
      <c r="C5" s="43" t="str">
        <f ca="1">IFERROR(__xludf.DUMMYFUNCTION("""COMPUTED_VALUE"""),"CF46HNY9JH31")</f>
        <v>CF46HNY9JH31</v>
      </c>
      <c r="D5" s="44" t="str">
        <f ca="1">IFERROR(__xludf.DUMMYFUNCTION("""COMPUTED_VALUE"""),"9520 Berger Road, Suite 107, Columbia, MD 21046, U.S.A.")</f>
        <v>9520 Berger Road, Suite 107, Columbia, MD 21046, U.S.A.</v>
      </c>
      <c r="E5" s="45" t="str">
        <f ca="1">IFERROR(__xludf.DUMMYFUNCTION("""COMPUTED_VALUE"""),"Yes")</f>
        <v>Yes</v>
      </c>
      <c r="F5" s="45" t="str">
        <f ca="1">IFERROR(__xludf.DUMMYFUNCTION("""COMPUTED_VALUE"""),"...")</f>
        <v>...</v>
      </c>
      <c r="G5" s="45" t="str">
        <f ca="1">IFERROR(__xludf.DUMMYFUNCTION("""COMPUTED_VALUE"""),"...")</f>
        <v>...</v>
      </c>
      <c r="H5" s="45" t="str">
        <f ca="1">IFERROR(__xludf.DUMMYFUNCTION("""COMPUTED_VALUE"""),"...")</f>
        <v>...</v>
      </c>
      <c r="I5" s="45" t="str">
        <f ca="1">IFERROR(__xludf.DUMMYFUNCTION("""COMPUTED_VALUE"""),"...")</f>
        <v>...</v>
      </c>
      <c r="J5" s="45" t="str">
        <f ca="1">IFERROR(__xludf.DUMMYFUNCTION("""COMPUTED_VALUE"""),"Yes")</f>
        <v>Yes</v>
      </c>
      <c r="K5" s="45" t="str">
        <f ca="1">IFERROR(__xludf.DUMMYFUNCTION("""COMPUTED_VALUE"""),"Yes")</f>
        <v>Yes</v>
      </c>
      <c r="L5" s="46" t="str">
        <f ca="1">IFERROR(__xludf.DUMMYFUNCTION("""COMPUTED_VALUE"""),"https://www.apvit.com/ContractVehicles/hcats")</f>
        <v>https://www.apvit.com/ContractVehicles/hcats</v>
      </c>
    </row>
    <row r="6" spans="1:12" ht="35.5" customHeight="1" x14ac:dyDescent="0.35">
      <c r="A6" s="36" t="str">
        <f ca="1">IFERROR(__xludf.DUMMYFUNCTION("""COMPUTED_VALUE"""),"47QREB19D0003")</f>
        <v>47QREB19D0003</v>
      </c>
      <c r="B6" s="37" t="str">
        <f ca="1">IFERROR(__xludf.DUMMYFUNCTION("""COMPUTED_VALUE"""),"Advanced Systems Technology and Management, Inc (AdSTM)")</f>
        <v>Advanced Systems Technology and Management, Inc (AdSTM)</v>
      </c>
      <c r="C6" s="38" t="str">
        <f ca="1">IFERROR(__xludf.DUMMYFUNCTION("""COMPUTED_VALUE"""),"G4P8ENP3FLM7")</f>
        <v>G4P8ENP3FLM7</v>
      </c>
      <c r="D6" s="39" t="str">
        <f ca="1">IFERROR(__xludf.DUMMYFUNCTION("""COMPUTED_VALUE"""),"7925 Jones Branch Dr Ste 5400
McLean, VA, 22102-3378")</f>
        <v>7925 Jones Branch Dr Ste 5400
McLean, VA, 22102-3378</v>
      </c>
      <c r="E6" s="40" t="str">
        <f ca="1">IFERROR(__xludf.DUMMYFUNCTION("""COMPUTED_VALUE"""),"...")</f>
        <v>...</v>
      </c>
      <c r="F6" s="40" t="str">
        <f ca="1">IFERROR(__xludf.DUMMYFUNCTION("""COMPUTED_VALUE"""),"...")</f>
        <v>...</v>
      </c>
      <c r="G6" s="40" t="str">
        <f ca="1">IFERROR(__xludf.DUMMYFUNCTION("""COMPUTED_VALUE"""),"...")</f>
        <v>...</v>
      </c>
      <c r="H6" s="40" t="str">
        <f ca="1">IFERROR(__xludf.DUMMYFUNCTION("""COMPUTED_VALUE"""),"...")</f>
        <v>...</v>
      </c>
      <c r="I6" s="40" t="str">
        <f ca="1">IFERROR(__xludf.DUMMYFUNCTION("""COMPUTED_VALUE"""),"...")</f>
        <v>...</v>
      </c>
      <c r="J6" s="40" t="str">
        <f ca="1">IFERROR(__xludf.DUMMYFUNCTION("""COMPUTED_VALUE"""),"Yes")</f>
        <v>Yes</v>
      </c>
      <c r="K6" s="40" t="str">
        <f ca="1">IFERROR(__xludf.DUMMYFUNCTION("""COMPUTED_VALUE"""),"...")</f>
        <v>...</v>
      </c>
      <c r="L6" s="47" t="str">
        <f ca="1">IFERROR(__xludf.DUMMYFUNCTION("""COMPUTED_VALUE"""),"http://www.adstm.com/contract-vehicles#1569001823180-24ae2ccc-c04e")</f>
        <v>http://www.adstm.com/contract-vehicles#1569001823180-24ae2ccc-c04e</v>
      </c>
    </row>
    <row r="7" spans="1:12" ht="35.5" customHeight="1" x14ac:dyDescent="0.35">
      <c r="A7" s="41" t="str">
        <f ca="1">IFERROR(__xludf.DUMMYFUNCTION("""COMPUTED_VALUE"""),"GS02Q16DCR0074")</f>
        <v>GS02Q16DCR0074</v>
      </c>
      <c r="B7" s="42" t="str">
        <f ca="1">IFERROR(__xludf.DUMMYFUNCTION("""COMPUTED_VALUE"""),"AE Strategies, LLC")</f>
        <v>AE Strategies, LLC</v>
      </c>
      <c r="C7" s="43" t="str">
        <f ca="1">IFERROR(__xludf.DUMMYFUNCTION("""COMPUTED_VALUE"""),"JLFXUUKV4BU3")</f>
        <v>JLFXUUKV4BU3</v>
      </c>
      <c r="D7" s="44" t="str">
        <f ca="1">IFERROR(__xludf.DUMMYFUNCTION("""COMPUTED_VALUE"""),"1751 Pinnacle Drive Suite 600, McLean, VA 22102")</f>
        <v>1751 Pinnacle Drive Suite 600, McLean, VA 22102</v>
      </c>
      <c r="E7" s="45" t="str">
        <f ca="1">IFERROR(__xludf.DUMMYFUNCTION("""COMPUTED_VALUE"""),"...")</f>
        <v>...</v>
      </c>
      <c r="F7" s="45" t="str">
        <f ca="1">IFERROR(__xludf.DUMMYFUNCTION("""COMPUTED_VALUE"""),"...")</f>
        <v>...</v>
      </c>
      <c r="G7" s="45" t="str">
        <f ca="1">IFERROR(__xludf.DUMMYFUNCTION("""COMPUTED_VALUE"""),"...")</f>
        <v>...</v>
      </c>
      <c r="H7" s="45" t="str">
        <f ca="1">IFERROR(__xludf.DUMMYFUNCTION("""COMPUTED_VALUE"""),"...")</f>
        <v>...</v>
      </c>
      <c r="I7" s="45" t="str">
        <f ca="1">IFERROR(__xludf.DUMMYFUNCTION("""COMPUTED_VALUE"""),"...")</f>
        <v>...</v>
      </c>
      <c r="J7" s="45" t="str">
        <f ca="1">IFERROR(__xludf.DUMMYFUNCTION("""COMPUTED_VALUE"""),"...")</f>
        <v>...</v>
      </c>
      <c r="K7" s="45" t="str">
        <f ca="1">IFERROR(__xludf.DUMMYFUNCTION("""COMPUTED_VALUE"""),"...")</f>
        <v>...</v>
      </c>
      <c r="L7" s="46" t="str">
        <f ca="1">IFERROR(__xludf.DUMMYFUNCTION("""COMPUTED_VALUE"""),"https://www.aestrategies.com/hcats")</f>
        <v>https://www.aestrategies.com/hcats</v>
      </c>
    </row>
    <row r="8" spans="1:12" ht="35.5" customHeight="1" x14ac:dyDescent="0.35">
      <c r="A8" s="36" t="str">
        <f ca="1">IFERROR(__xludf.DUMMYFUNCTION("""COMPUTED_VALUE"""),"47QREB20D0001")</f>
        <v>47QREB20D0001</v>
      </c>
      <c r="B8" s="37" t="str">
        <f ca="1">IFERROR(__xludf.DUMMYFUNCTION("""COMPUTED_VALUE"""),"Avani Services, LLC  (FKA Forward Momentum, LLC)")</f>
        <v>Avani Services, LLC  (FKA Forward Momentum, LLC)</v>
      </c>
      <c r="C8" s="38" t="str">
        <f ca="1">IFERROR(__xludf.DUMMYFUNCTION("""COMPUTED_VALUE"""),"D4GHUJ79V9A9")</f>
        <v>D4GHUJ79V9A9</v>
      </c>
      <c r="D8" s="39" t="str">
        <f ca="1">IFERROR(__xludf.DUMMYFUNCTION("""COMPUTED_VALUE"""),"5003 Warren St NW Washington,DC 20016-4371")</f>
        <v>5003 Warren St NW Washington,DC 20016-4371</v>
      </c>
      <c r="E8" s="40" t="str">
        <f ca="1">IFERROR(__xludf.DUMMYFUNCTION("""COMPUTED_VALUE"""),"Yes")</f>
        <v>Yes</v>
      </c>
      <c r="F8" s="40" t="str">
        <f ca="1">IFERROR(__xludf.DUMMYFUNCTION("""COMPUTED_VALUE"""),"...")</f>
        <v>...</v>
      </c>
      <c r="G8" s="40" t="str">
        <f ca="1">IFERROR(__xludf.DUMMYFUNCTION("""COMPUTED_VALUE"""),"...")</f>
        <v>...</v>
      </c>
      <c r="H8" s="40" t="str">
        <f ca="1">IFERROR(__xludf.DUMMYFUNCTION("""COMPUTED_VALUE"""),"...")</f>
        <v>...</v>
      </c>
      <c r="I8" s="40" t="str">
        <f ca="1">IFERROR(__xludf.DUMMYFUNCTION("""COMPUTED_VALUE"""),"...")</f>
        <v>...</v>
      </c>
      <c r="J8" s="40" t="str">
        <f ca="1">IFERROR(__xludf.DUMMYFUNCTION("""COMPUTED_VALUE"""),"Yes")</f>
        <v>Yes</v>
      </c>
      <c r="K8" s="40" t="str">
        <f ca="1">IFERROR(__xludf.DUMMYFUNCTION("""COMPUTED_VALUE"""),"Yes")</f>
        <v>Yes</v>
      </c>
      <c r="L8" s="47" t="str">
        <f ca="1">IFERROR(__xludf.DUMMYFUNCTION("""COMPUTED_VALUE"""),"https://forwardmomentum.net/")</f>
        <v>https://forwardmomentum.net/</v>
      </c>
    </row>
    <row r="9" spans="1:12" ht="35.5" customHeight="1" x14ac:dyDescent="0.35">
      <c r="A9" s="41" t="str">
        <f ca="1">IFERROR(__xludf.DUMMYFUNCTION("""COMPUTED_VALUE"""),"47QREB19D0022")</f>
        <v>47QREB19D0022</v>
      </c>
      <c r="B9" s="42" t="str">
        <f ca="1">IFERROR(__xludf.DUMMYFUNCTION("""COMPUTED_VALUE"""),"AvantGarde, LLC")</f>
        <v>AvantGarde, LLC</v>
      </c>
      <c r="C9" s="43" t="str">
        <f ca="1">IFERROR(__xludf.DUMMYFUNCTION("""COMPUTED_VALUE"""),"NLSBAKHB8VD9")</f>
        <v>NLSBAKHB8VD9</v>
      </c>
      <c r="D9" s="44" t="str">
        <f ca="1">IFERROR(__xludf.DUMMYFUNCTION("""COMPUTED_VALUE"""),"3011 Dawn Dr. Ste 101
Georgetown, TX 78628-2827
")</f>
        <v xml:space="preserve">3011 Dawn Dr. Ste 101
Georgetown, TX 78628-2827
</v>
      </c>
      <c r="E9" s="45" t="str">
        <f ca="1">IFERROR(__xludf.DUMMYFUNCTION("""COMPUTED_VALUE"""),"Yes")</f>
        <v>Yes</v>
      </c>
      <c r="F9" s="45" t="str">
        <f ca="1">IFERROR(__xludf.DUMMYFUNCTION("""COMPUTED_VALUE"""),"...")</f>
        <v>...</v>
      </c>
      <c r="G9" s="45" t="str">
        <f ca="1">IFERROR(__xludf.DUMMYFUNCTION("""COMPUTED_VALUE"""),"...")</f>
        <v>...</v>
      </c>
      <c r="H9" s="45" t="str">
        <f ca="1">IFERROR(__xludf.DUMMYFUNCTION("""COMPUTED_VALUE"""),"...")</f>
        <v>...</v>
      </c>
      <c r="I9" s="45" t="str">
        <f ca="1">IFERROR(__xludf.DUMMYFUNCTION("""COMPUTED_VALUE"""),"...")</f>
        <v>...</v>
      </c>
      <c r="J9" s="45" t="str">
        <f ca="1">IFERROR(__xludf.DUMMYFUNCTION("""COMPUTED_VALUE"""),"Yes")</f>
        <v>Yes</v>
      </c>
      <c r="K9" s="45" t="str">
        <f ca="1">IFERROR(__xludf.DUMMYFUNCTION("""COMPUTED_VALUE"""),"Yes")</f>
        <v>Yes</v>
      </c>
      <c r="L9" s="46" t="str">
        <f ca="1">IFERROR(__xludf.DUMMYFUNCTION("""COMPUTED_VALUE"""),"https://www.avantgarde4usa.com/hcats-8a-pool-1/")</f>
        <v>https://www.avantgarde4usa.com/hcats-8a-pool-1/</v>
      </c>
    </row>
    <row r="10" spans="1:12" ht="35.5" customHeight="1" x14ac:dyDescent="0.35">
      <c r="A10" s="36" t="str">
        <f ca="1">IFERROR(__xludf.DUMMYFUNCTION("""COMPUTED_VALUE"""),"47QREB19D0018")</f>
        <v>47QREB19D0018</v>
      </c>
      <c r="B10" s="37" t="str">
        <f ca="1">IFERROR(__xludf.DUMMYFUNCTION("""COMPUTED_VALUE"""),"Chitra Productions LLC")</f>
        <v>Chitra Productions LLC</v>
      </c>
      <c r="C10" s="38" t="str">
        <f ca="1">IFERROR(__xludf.DUMMYFUNCTION("""COMPUTED_VALUE"""),"FZA5KT3QE4H3")</f>
        <v>FZA5KT3QE4H3</v>
      </c>
      <c r="D10" s="39" t="str">
        <f ca="1">IFERROR(__xludf.DUMMYFUNCTION("""COMPUTED_VALUE"""),"4211 Monarch Way Suite 122 Norfolk, VA 23508-2540")</f>
        <v>4211 Monarch Way Suite 122 Norfolk, VA 23508-2540</v>
      </c>
      <c r="E10" s="40" t="str">
        <f ca="1">IFERROR(__xludf.DUMMYFUNCTION("""COMPUTED_VALUE"""),"Yes")</f>
        <v>Yes</v>
      </c>
      <c r="F10" s="40" t="str">
        <f ca="1">IFERROR(__xludf.DUMMYFUNCTION("""COMPUTED_VALUE"""),"Yes")</f>
        <v>Yes</v>
      </c>
      <c r="G10" s="40" t="str">
        <f ca="1">IFERROR(__xludf.DUMMYFUNCTION("""COMPUTED_VALUE"""),"...")</f>
        <v>...</v>
      </c>
      <c r="H10" s="40" t="str">
        <f ca="1">IFERROR(__xludf.DUMMYFUNCTION("""COMPUTED_VALUE"""),"...")</f>
        <v>...</v>
      </c>
      <c r="I10" s="40" t="str">
        <f ca="1">IFERROR(__xludf.DUMMYFUNCTION("""COMPUTED_VALUE"""),"...")</f>
        <v>...</v>
      </c>
      <c r="J10" s="40" t="str">
        <f ca="1">IFERROR(__xludf.DUMMYFUNCTION("""COMPUTED_VALUE"""),"Yes")</f>
        <v>Yes</v>
      </c>
      <c r="K10" s="40" t="str">
        <f ca="1">IFERROR(__xludf.DUMMYFUNCTION("""COMPUTED_VALUE"""),"...")</f>
        <v>...</v>
      </c>
      <c r="L10" s="47" t="str">
        <f ca="1">IFERROR(__xludf.DUMMYFUNCTION("""COMPUTED_VALUE"""),"https://www.chitraproductions.com/hcats-sb")</f>
        <v>https://www.chitraproductions.com/hcats-sb</v>
      </c>
    </row>
    <row r="11" spans="1:12" ht="35.5" customHeight="1" x14ac:dyDescent="0.35">
      <c r="A11" s="41" t="str">
        <f ca="1">IFERROR(__xludf.DUMMYFUNCTION("""COMPUTED_VALUE"""),"GS02Q17DCR0010")</f>
        <v>GS02Q17DCR0010</v>
      </c>
      <c r="B11" s="42" t="str">
        <f ca="1">IFERROR(__xludf.DUMMYFUNCTION("""COMPUTED_VALUE"""),"Colleague Consulting, LLC")</f>
        <v>Colleague Consulting, LLC</v>
      </c>
      <c r="C11" s="43" t="str">
        <f ca="1">IFERROR(__xludf.DUMMYFUNCTION("""COMPUTED_VALUE"""),"UA6NPN6M89L6")</f>
        <v>UA6NPN6M89L6</v>
      </c>
      <c r="D11" s="44" t="str">
        <f ca="1">IFERROR(__xludf.DUMMYFUNCTION("""COMPUTED_VALUE"""),"7500 Greenway Center Drive, Suite 200, Greenbelt, MD 20770")</f>
        <v>7500 Greenway Center Drive, Suite 200, Greenbelt, MD 20770</v>
      </c>
      <c r="E11" s="45" t="str">
        <f ca="1">IFERROR(__xludf.DUMMYFUNCTION("""COMPUTED_VALUE"""),"...")</f>
        <v>...</v>
      </c>
      <c r="F11" s="45" t="str">
        <f ca="1">IFERROR(__xludf.DUMMYFUNCTION("""COMPUTED_VALUE"""),"...")</f>
        <v>...</v>
      </c>
      <c r="G11" s="45" t="str">
        <f ca="1">IFERROR(__xludf.DUMMYFUNCTION("""COMPUTED_VALUE"""),"...")</f>
        <v>...</v>
      </c>
      <c r="H11" s="45" t="str">
        <f ca="1">IFERROR(__xludf.DUMMYFUNCTION("""COMPUTED_VALUE"""),"...")</f>
        <v>...</v>
      </c>
      <c r="I11" s="45" t="str">
        <f ca="1">IFERROR(__xludf.DUMMYFUNCTION("""COMPUTED_VALUE"""),"...")</f>
        <v>...</v>
      </c>
      <c r="J11" s="45" t="str">
        <f ca="1">IFERROR(__xludf.DUMMYFUNCTION("""COMPUTED_VALUE"""),"Yes")</f>
        <v>Yes</v>
      </c>
      <c r="K11" s="45" t="str">
        <f ca="1">IFERROR(__xludf.DUMMYFUNCTION("""COMPUTED_VALUE"""),"...")</f>
        <v>...</v>
      </c>
      <c r="L11" s="46" t="str">
        <f ca="1">IFERROR(__xludf.DUMMYFUNCTION("""COMPUTED_VALUE"""),"https://www.colleagueconsulting.com/")</f>
        <v>https://www.colleagueconsulting.com/</v>
      </c>
    </row>
    <row r="12" spans="1:12" ht="35.5" customHeight="1" x14ac:dyDescent="0.35">
      <c r="A12" s="36" t="str">
        <f ca="1">IFERROR(__xludf.DUMMYFUNCTION("""COMPUTED_VALUE"""),"47QREB19D0023")</f>
        <v>47QREB19D0023</v>
      </c>
      <c r="B12" s="37" t="str">
        <f ca="1">IFERROR(__xludf.DUMMYFUNCTION("""COMPUTED_VALUE"""),"Communication Institute International, Inc")</f>
        <v>Communication Institute International, Inc</v>
      </c>
      <c r="C12" s="38" t="str">
        <f ca="1">IFERROR(__xludf.DUMMYFUNCTION("""COMPUTED_VALUE"""),"C7VNDGKKA2J7")</f>
        <v>C7VNDGKKA2J7</v>
      </c>
      <c r="D12" s="39" t="str">
        <f ca="1">IFERROR(__xludf.DUMMYFUNCTION("""COMPUTED_VALUE"""),"7852 S Elati St Ste 201
Littleton, CO, 80120-8079")</f>
        <v>7852 S Elati St Ste 201
Littleton, CO, 80120-8079</v>
      </c>
      <c r="E12" s="40" t="str">
        <f ca="1">IFERROR(__xludf.DUMMYFUNCTION("""COMPUTED_VALUE"""),"...")</f>
        <v>...</v>
      </c>
      <c r="F12" s="40" t="str">
        <f ca="1">IFERROR(__xludf.DUMMYFUNCTION("""COMPUTED_VALUE"""),"...")</f>
        <v>...</v>
      </c>
      <c r="G12" s="40" t="str">
        <f ca="1">IFERROR(__xludf.DUMMYFUNCTION("""COMPUTED_VALUE"""),"...")</f>
        <v>...</v>
      </c>
      <c r="H12" s="40" t="str">
        <f ca="1">IFERROR(__xludf.DUMMYFUNCTION("""COMPUTED_VALUE"""),"...")</f>
        <v>...</v>
      </c>
      <c r="I12" s="40" t="str">
        <f ca="1">IFERROR(__xludf.DUMMYFUNCTION("""COMPUTED_VALUE"""),"...")</f>
        <v>...</v>
      </c>
      <c r="J12" s="40" t="str">
        <f ca="1">IFERROR(__xludf.DUMMYFUNCTION("""COMPUTED_VALUE"""),"...")</f>
        <v>...</v>
      </c>
      <c r="K12" s="40" t="str">
        <f ca="1">IFERROR(__xludf.DUMMYFUNCTION("""COMPUTED_VALUE"""),"...")</f>
        <v>...</v>
      </c>
      <c r="L12" s="47" t="str">
        <f ca="1">IFERROR(__xludf.DUMMYFUNCTION("""COMPUTED_VALUE"""),"https://ciinternational.com/human-capital-and-training-solutions-hcats/")</f>
        <v>https://ciinternational.com/human-capital-and-training-solutions-hcats/</v>
      </c>
    </row>
    <row r="13" spans="1:12" ht="35.5" customHeight="1" x14ac:dyDescent="0.35">
      <c r="A13" s="41" t="str">
        <f ca="1">IFERROR(__xludf.DUMMYFUNCTION("""COMPUTED_VALUE"""),"47QREB19D0009")</f>
        <v>47QREB19D0009</v>
      </c>
      <c r="B13" s="42" t="str">
        <f ca="1">IFERROR(__xludf.DUMMYFUNCTION("""COMPUTED_VALUE"""),"CTR Management Group, LLC")</f>
        <v>CTR Management Group, LLC</v>
      </c>
      <c r="C13" s="43" t="str">
        <f ca="1">IFERROR(__xludf.DUMMYFUNCTION("""COMPUTED_VALUE"""),"NGBLAH7NGBA9")</f>
        <v>NGBLAH7NGBA9</v>
      </c>
      <c r="D13" s="44" t="str">
        <f ca="1">IFERROR(__xludf.DUMMYFUNCTION("""COMPUTED_VALUE"""),"2751 Prosperity Ave Ste 540
Fairfax, VA, 22031-4397")</f>
        <v>2751 Prosperity Ave Ste 540
Fairfax, VA, 22031-4397</v>
      </c>
      <c r="E13" s="45" t="str">
        <f ca="1">IFERROR(__xludf.DUMMYFUNCTION("""COMPUTED_VALUE"""),"Yes")</f>
        <v>Yes</v>
      </c>
      <c r="F13" s="45" t="str">
        <f ca="1">IFERROR(__xludf.DUMMYFUNCTION("""COMPUTED_VALUE"""),"...")</f>
        <v>...</v>
      </c>
      <c r="G13" s="45" t="str">
        <f ca="1">IFERROR(__xludf.DUMMYFUNCTION("""COMPUTED_VALUE"""),"...")</f>
        <v>...</v>
      </c>
      <c r="H13" s="45" t="str">
        <f ca="1">IFERROR(__xludf.DUMMYFUNCTION("""COMPUTED_VALUE"""),"...")</f>
        <v>...</v>
      </c>
      <c r="I13" s="45" t="str">
        <f ca="1">IFERROR(__xludf.DUMMYFUNCTION("""COMPUTED_VALUE"""),"...")</f>
        <v>...</v>
      </c>
      <c r="J13" s="45" t="str">
        <f ca="1">IFERROR(__xludf.DUMMYFUNCTION("""COMPUTED_VALUE"""),"...")</f>
        <v>...</v>
      </c>
      <c r="K13" s="45" t="str">
        <f ca="1">IFERROR(__xludf.DUMMYFUNCTION("""COMPUTED_VALUE"""),"...")</f>
        <v>...</v>
      </c>
      <c r="L13" s="46" t="str">
        <f ca="1">IFERROR(__xludf.DUMMYFUNCTION("""COMPUTED_VALUE"""),"https://www.ctrmg.com/contract-vehicles/")</f>
        <v>https://www.ctrmg.com/contract-vehicles/</v>
      </c>
    </row>
    <row r="14" spans="1:12" ht="35.5" customHeight="1" x14ac:dyDescent="0.35">
      <c r="A14" s="36" t="str">
        <f ca="1">IFERROR(__xludf.DUMMYFUNCTION("""COMPUTED_VALUE"""),"47QREB19D0012")</f>
        <v>47QREB19D0012</v>
      </c>
      <c r="B14" s="37" t="str">
        <f ca="1">IFERROR(__xludf.DUMMYFUNCTION("""COMPUTED_VALUE"""),"Data Management Services, Inc")</f>
        <v>Data Management Services, Inc</v>
      </c>
      <c r="C14" s="38" t="str">
        <f ca="1">IFERROR(__xludf.DUMMYFUNCTION("""COMPUTED_VALUE"""),"YJHWC4F3FJ89")</f>
        <v>YJHWC4F3FJ89</v>
      </c>
      <c r="D14" s="39" t="str">
        <f ca="1">IFERROR(__xludf.DUMMYFUNCTION("""COMPUTED_VALUE"""),"804 Pershing Dr Ste 204
Silver Spring, MD, 20910-4439")</f>
        <v>804 Pershing Dr Ste 204
Silver Spring, MD, 20910-4439</v>
      </c>
      <c r="E14" s="40" t="str">
        <f ca="1">IFERROR(__xludf.DUMMYFUNCTION("""COMPUTED_VALUE"""),"Yes")</f>
        <v>Yes</v>
      </c>
      <c r="F14" s="40" t="str">
        <f ca="1">IFERROR(__xludf.DUMMYFUNCTION("""COMPUTED_VALUE"""),"...")</f>
        <v>...</v>
      </c>
      <c r="G14" s="40" t="str">
        <f ca="1">IFERROR(__xludf.DUMMYFUNCTION("""COMPUTED_VALUE"""),"...")</f>
        <v>...</v>
      </c>
      <c r="H14" s="40" t="str">
        <f ca="1">IFERROR(__xludf.DUMMYFUNCTION("""COMPUTED_VALUE"""),"...")</f>
        <v>...</v>
      </c>
      <c r="I14" s="40" t="str">
        <f ca="1">IFERROR(__xludf.DUMMYFUNCTION("""COMPUTED_VALUE"""),"...")</f>
        <v>...</v>
      </c>
      <c r="J14" s="40" t="str">
        <f ca="1">IFERROR(__xludf.DUMMYFUNCTION("""COMPUTED_VALUE"""),"Yes")</f>
        <v>Yes</v>
      </c>
      <c r="K14" s="40" t="str">
        <f ca="1">IFERROR(__xludf.DUMMYFUNCTION("""COMPUTED_VALUE"""),"...")</f>
        <v>...</v>
      </c>
      <c r="L14" s="47" t="str">
        <f ca="1">IFERROR(__xludf.DUMMYFUNCTION("""COMPUTED_VALUE"""),"https://dmsinetwork.com/hcats/")</f>
        <v>https://dmsinetwork.com/hcats/</v>
      </c>
    </row>
    <row r="15" spans="1:12" ht="35.5" customHeight="1" x14ac:dyDescent="0.35">
      <c r="A15" s="41" t="str">
        <f ca="1">IFERROR(__xludf.DUMMYFUNCTION("""COMPUTED_VALUE"""),"GS02Q16DCR0076")</f>
        <v>GS02Q16DCR0076</v>
      </c>
      <c r="B15" s="42" t="str">
        <f ca="1">IFERROR(__xludf.DUMMYFUNCTION("""COMPUTED_VALUE"""),"Deep Mile Networks, LLC")</f>
        <v>Deep Mile Networks, LLC</v>
      </c>
      <c r="C15" s="43" t="str">
        <f ca="1">IFERROR(__xludf.DUMMYFUNCTION("""COMPUTED_VALUE"""),"KJQXXKB5WF89")</f>
        <v>KJQXXKB5WF89</v>
      </c>
      <c r="D15" s="44" t="str">
        <f ca="1">IFERROR(__xludf.DUMMYFUNCTION("""COMPUTED_VALUE"""),"1934 Old Gallows Road, Suite 350
Vienna, VA 22182-4050")</f>
        <v>1934 Old Gallows Road, Suite 350
Vienna, VA 22182-4050</v>
      </c>
      <c r="E15" s="45" t="str">
        <f ca="1">IFERROR(__xludf.DUMMYFUNCTION("""COMPUTED_VALUE"""),"...")</f>
        <v>...</v>
      </c>
      <c r="F15" s="45" t="str">
        <f ca="1">IFERROR(__xludf.DUMMYFUNCTION("""COMPUTED_VALUE"""),"...")</f>
        <v>...</v>
      </c>
      <c r="G15" s="45" t="str">
        <f ca="1">IFERROR(__xludf.DUMMYFUNCTION("""COMPUTED_VALUE"""),"...")</f>
        <v>...</v>
      </c>
      <c r="H15" s="45" t="str">
        <f ca="1">IFERROR(__xludf.DUMMYFUNCTION("""COMPUTED_VALUE"""),"...")</f>
        <v>...</v>
      </c>
      <c r="I15" s="45" t="str">
        <f ca="1">IFERROR(__xludf.DUMMYFUNCTION("""COMPUTED_VALUE"""),"...")</f>
        <v>...</v>
      </c>
      <c r="J15" s="45" t="str">
        <f ca="1">IFERROR(__xludf.DUMMYFUNCTION("""COMPUTED_VALUE"""),"...")</f>
        <v>...</v>
      </c>
      <c r="K15" s="45" t="str">
        <f ca="1">IFERROR(__xludf.DUMMYFUNCTION("""COMPUTED_VALUE"""),"...")</f>
        <v>...</v>
      </c>
      <c r="L15" s="46" t="str">
        <f ca="1">IFERROR(__xludf.DUMMYFUNCTION("""COMPUTED_VALUE"""),"https://deepmile.com/hcatssb/")</f>
        <v>https://deepmile.com/hcatssb/</v>
      </c>
    </row>
    <row r="16" spans="1:12" ht="35.5" customHeight="1" x14ac:dyDescent="0.35">
      <c r="A16" s="36" t="str">
        <f ca="1">IFERROR(__xludf.DUMMYFUNCTION("""COMPUTED_VALUE"""),"47QREB19D0005")</f>
        <v>47QREB19D0005</v>
      </c>
      <c r="B16" s="37" t="str">
        <f ca="1">IFERROR(__xludf.DUMMYFUNCTION("""COMPUTED_VALUE"""),"Delan Associates, Inc")</f>
        <v>Delan Associates, Inc</v>
      </c>
      <c r="C16" s="38" t="str">
        <f ca="1">IFERROR(__xludf.DUMMYFUNCTION("""COMPUTED_VALUE"""),"FWXUJGDXEMC7")</f>
        <v>FWXUJGDXEMC7</v>
      </c>
      <c r="D16" s="39" t="str">
        <f ca="1">IFERROR(__xludf.DUMMYFUNCTION("""COMPUTED_VALUE"""),"25 Maryland Ave
Freeport, NY 11520-2005")</f>
        <v>25 Maryland Ave
Freeport, NY 11520-2005</v>
      </c>
      <c r="E16" s="40" t="str">
        <f ca="1">IFERROR(__xludf.DUMMYFUNCTION("""COMPUTED_VALUE"""),"Yes")</f>
        <v>Yes</v>
      </c>
      <c r="F16" s="40" t="str">
        <f ca="1">IFERROR(__xludf.DUMMYFUNCTION("""COMPUTED_VALUE"""),"...")</f>
        <v>...</v>
      </c>
      <c r="G16" s="40" t="str">
        <f ca="1">IFERROR(__xludf.DUMMYFUNCTION("""COMPUTED_VALUE"""),"...")</f>
        <v>...</v>
      </c>
      <c r="H16" s="40" t="str">
        <f ca="1">IFERROR(__xludf.DUMMYFUNCTION("""COMPUTED_VALUE"""),"...")</f>
        <v>...</v>
      </c>
      <c r="I16" s="40" t="str">
        <f ca="1">IFERROR(__xludf.DUMMYFUNCTION("""COMPUTED_VALUE"""),"...")</f>
        <v>...</v>
      </c>
      <c r="J16" s="40" t="str">
        <f ca="1">IFERROR(__xludf.DUMMYFUNCTION("""COMPUTED_VALUE"""),"...")</f>
        <v>...</v>
      </c>
      <c r="K16" s="40" t="str">
        <f ca="1">IFERROR(__xludf.DUMMYFUNCTION("""COMPUTED_VALUE"""),"...")</f>
        <v>...</v>
      </c>
      <c r="L16" s="47" t="str">
        <f ca="1">IFERROR(__xludf.DUMMYFUNCTION("""COMPUTED_VALUE"""),"http://www.delanhq.com/hcats/")</f>
        <v>http://www.delanhq.com/hcats/</v>
      </c>
    </row>
    <row r="17" spans="1:12" ht="35.5" customHeight="1" x14ac:dyDescent="0.35">
      <c r="A17" s="41" t="str">
        <f ca="1">IFERROR(__xludf.DUMMYFUNCTION("""COMPUTED_VALUE"""),"47QREB19D0001")</f>
        <v>47QREB19D0001</v>
      </c>
      <c r="B17" s="42" t="str">
        <f ca="1">IFERROR(__xludf.DUMMYFUNCTION("""COMPUTED_VALUE"""),"E-PAGA, INC")</f>
        <v>E-PAGA, INC</v>
      </c>
      <c r="C17" s="43" t="str">
        <f ca="1">IFERROR(__xludf.DUMMYFUNCTION("""COMPUTED_VALUE"""),"CW15L7CZ9LE6")</f>
        <v>CW15L7CZ9LE6</v>
      </c>
      <c r="D17" s="44" t="str">
        <f ca="1">IFERROR(__xludf.DUMMYFUNCTION("""COMPUTED_VALUE"""),"9201 Corporate Boulevard, Suite 430, Rockville, MD 20850")</f>
        <v>9201 Corporate Boulevard, Suite 430, Rockville, MD 20850</v>
      </c>
      <c r="E17" s="45" t="str">
        <f ca="1">IFERROR(__xludf.DUMMYFUNCTION("""COMPUTED_VALUE"""),"Yes")</f>
        <v>Yes</v>
      </c>
      <c r="F17" s="45" t="str">
        <f ca="1">IFERROR(__xludf.DUMMYFUNCTION("""COMPUTED_VALUE"""),"...")</f>
        <v>...</v>
      </c>
      <c r="G17" s="45" t="str">
        <f ca="1">IFERROR(__xludf.DUMMYFUNCTION("""COMPUTED_VALUE"""),"...")</f>
        <v>...</v>
      </c>
      <c r="H17" s="45" t="str">
        <f ca="1">IFERROR(__xludf.DUMMYFUNCTION("""COMPUTED_VALUE"""),"...")</f>
        <v>...</v>
      </c>
      <c r="I17" s="45" t="str">
        <f ca="1">IFERROR(__xludf.DUMMYFUNCTION("""COMPUTED_VALUE"""),"...")</f>
        <v>...</v>
      </c>
      <c r="J17" s="45" t="str">
        <f ca="1">IFERROR(__xludf.DUMMYFUNCTION("""COMPUTED_VALUE"""),"...")</f>
        <v>...</v>
      </c>
      <c r="K17" s="45" t="str">
        <f ca="1">IFERROR(__xludf.DUMMYFUNCTION("""COMPUTED_VALUE"""),"...")</f>
        <v>...</v>
      </c>
      <c r="L17" s="46" t="str">
        <f ca="1">IFERROR(__xludf.DUMMYFUNCTION("""COMPUTED_VALUE"""),"https://www.e-paga.com/hcats-sb/")</f>
        <v>https://www.e-paga.com/hcats-sb/</v>
      </c>
    </row>
    <row r="18" spans="1:12" ht="35.5" customHeight="1" x14ac:dyDescent="0.35">
      <c r="A18" s="36" t="str">
        <f ca="1">IFERROR(__xludf.DUMMYFUNCTION("""COMPUTED_VALUE"""),"47QREB19D0026")</f>
        <v>47QREB19D0026</v>
      </c>
      <c r="B18" s="37" t="str">
        <f ca="1">IFERROR(__xludf.DUMMYFUNCTION("""COMPUTED_VALUE"""),"Engaging Training Solutions, Inc")</f>
        <v>Engaging Training Solutions, Inc</v>
      </c>
      <c r="C18" s="38" t="str">
        <f ca="1">IFERROR(__xludf.DUMMYFUNCTION("""COMPUTED_VALUE"""),"N3BJUF5J7QN4")</f>
        <v>N3BJUF5J7QN4</v>
      </c>
      <c r="D18" s="39" t="str">
        <f ca="1">IFERROR(__xludf.DUMMYFUNCTION("""COMPUTED_VALUE"""),"14201 E 4th Avenue, Suite 4-360
Aurora, CO, 80011-8748")</f>
        <v>14201 E 4th Avenue, Suite 4-360
Aurora, CO, 80011-8748</v>
      </c>
      <c r="E18" s="40" t="str">
        <f ca="1">IFERROR(__xludf.DUMMYFUNCTION("""COMPUTED_VALUE"""),"Yes")</f>
        <v>Yes</v>
      </c>
      <c r="F18" s="40" t="str">
        <f ca="1">IFERROR(__xludf.DUMMYFUNCTION("""COMPUTED_VALUE"""),"Yes")</f>
        <v>Yes</v>
      </c>
      <c r="G18" s="40" t="str">
        <f ca="1">IFERROR(__xludf.DUMMYFUNCTION("""COMPUTED_VALUE"""),"...")</f>
        <v>...</v>
      </c>
      <c r="H18" s="40" t="str">
        <f ca="1">IFERROR(__xludf.DUMMYFUNCTION("""COMPUTED_VALUE"""),"...")</f>
        <v>...</v>
      </c>
      <c r="I18" s="40" t="str">
        <f ca="1">IFERROR(__xludf.DUMMYFUNCTION("""COMPUTED_VALUE"""),"...")</f>
        <v>...</v>
      </c>
      <c r="J18" s="40" t="str">
        <f ca="1">IFERROR(__xludf.DUMMYFUNCTION("""COMPUTED_VALUE"""),"...")</f>
        <v>...</v>
      </c>
      <c r="K18" s="40" t="str">
        <f ca="1">IFERROR(__xludf.DUMMYFUNCTION("""COMPUTED_VALUE"""),"...")</f>
        <v>...</v>
      </c>
      <c r="L18" s="47" t="str">
        <f ca="1">IFERROR(__xludf.DUMMYFUNCTION("""COMPUTED_VALUE"""),"https://www.engagingtraining.com/human-capital-and-training-solutions/")</f>
        <v>https://www.engagingtraining.com/human-capital-and-training-solutions/</v>
      </c>
    </row>
    <row r="19" spans="1:12" ht="35.5" customHeight="1" x14ac:dyDescent="0.35">
      <c r="A19" s="41" t="str">
        <f ca="1">IFERROR(__xludf.DUMMYFUNCTION("""COMPUTED_VALUE"""),"47QREB19D0002")</f>
        <v>47QREB19D0002</v>
      </c>
      <c r="B19" s="42" t="str">
        <f ca="1">IFERROR(__xludf.DUMMYFUNCTION("""COMPUTED_VALUE"""),"Full Circle Group, Inc")</f>
        <v>Full Circle Group, Inc</v>
      </c>
      <c r="C19" s="43" t="str">
        <f ca="1">IFERROR(__xludf.DUMMYFUNCTION("""COMPUTED_VALUE"""),"C49RM1EY1UY5")</f>
        <v>C49RM1EY1UY5</v>
      </c>
      <c r="D19" s="44" t="str">
        <f ca="1">IFERROR(__xludf.DUMMYFUNCTION("""COMPUTED_VALUE"""),"740 Springdale Dr Ste 125
Exton, PA, 19341-2831")</f>
        <v>740 Springdale Dr Ste 125
Exton, PA, 19341-2831</v>
      </c>
      <c r="E19" s="45" t="str">
        <f ca="1">IFERROR(__xludf.DUMMYFUNCTION("""COMPUTED_VALUE"""),"Yes")</f>
        <v>Yes</v>
      </c>
      <c r="F19" s="45" t="str">
        <f ca="1">IFERROR(__xludf.DUMMYFUNCTION("""COMPUTED_VALUE"""),"...")</f>
        <v>...</v>
      </c>
      <c r="G19" s="45" t="str">
        <f ca="1">IFERROR(__xludf.DUMMYFUNCTION("""COMPUTED_VALUE"""),"...")</f>
        <v>...</v>
      </c>
      <c r="H19" s="45" t="str">
        <f ca="1">IFERROR(__xludf.DUMMYFUNCTION("""COMPUTED_VALUE"""),"...")</f>
        <v>...</v>
      </c>
      <c r="I19" s="45" t="str">
        <f ca="1">IFERROR(__xludf.DUMMYFUNCTION("""COMPUTED_VALUE"""),"...")</f>
        <v>...</v>
      </c>
      <c r="J19" s="45" t="str">
        <f ca="1">IFERROR(__xludf.DUMMYFUNCTION("""COMPUTED_VALUE"""),"Yes")</f>
        <v>Yes</v>
      </c>
      <c r="K19" s="45" t="str">
        <f ca="1">IFERROR(__xludf.DUMMYFUNCTION("""COMPUTED_VALUE"""),"Yes")</f>
        <v>Yes</v>
      </c>
      <c r="L19" s="46" t="str">
        <f ca="1">IFERROR(__xludf.DUMMYFUNCTION("""COMPUTED_VALUE"""),"https://thefullcirclegroup.com/consulting-government-services/government-vehicles/")</f>
        <v>https://thefullcirclegroup.com/consulting-government-services/government-vehicles/</v>
      </c>
    </row>
    <row r="20" spans="1:12" ht="35.5" customHeight="1" x14ac:dyDescent="0.35">
      <c r="A20" s="36" t="str">
        <f ca="1">IFERROR(__xludf.DUMMYFUNCTION("""COMPUTED_VALUE"""),"47QREB19D0016")</f>
        <v>47QREB19D0016</v>
      </c>
      <c r="B20" s="37" t="str">
        <f ca="1">IFERROR(__xludf.DUMMYFUNCTION("""COMPUTED_VALUE"""),"Full Visibility LLC")</f>
        <v>Full Visibility LLC</v>
      </c>
      <c r="C20" s="38" t="str">
        <f ca="1">IFERROR(__xludf.DUMMYFUNCTION("""COMPUTED_VALUE"""),"FYCNMM9FC863")</f>
        <v>FYCNMM9FC863</v>
      </c>
      <c r="D20" s="39" t="str">
        <f ca="1">IFERROR(__xludf.DUMMYFUNCTION("""COMPUTED_VALUE"""),"5065 36th St N
Arlington, VA, 22207-2946")</f>
        <v>5065 36th St N
Arlington, VA, 22207-2946</v>
      </c>
      <c r="E20" s="40" t="str">
        <f ca="1">IFERROR(__xludf.DUMMYFUNCTION("""COMPUTED_VALUE"""),"...")</f>
        <v>...</v>
      </c>
      <c r="F20" s="40" t="str">
        <f ca="1">IFERROR(__xludf.DUMMYFUNCTION("""COMPUTED_VALUE"""),"...")</f>
        <v>...</v>
      </c>
      <c r="G20" s="40" t="str">
        <f ca="1">IFERROR(__xludf.DUMMYFUNCTION("""COMPUTED_VALUE"""),"...")</f>
        <v>...</v>
      </c>
      <c r="H20" s="40" t="str">
        <f ca="1">IFERROR(__xludf.DUMMYFUNCTION("""COMPUTED_VALUE"""),"...")</f>
        <v>...</v>
      </c>
      <c r="I20" s="40" t="str">
        <f ca="1">IFERROR(__xludf.DUMMYFUNCTION("""COMPUTED_VALUE"""),"...")</f>
        <v>...</v>
      </c>
      <c r="J20" s="40" t="str">
        <f ca="1">IFERROR(__xludf.DUMMYFUNCTION("""COMPUTED_VALUE"""),"...")</f>
        <v>...</v>
      </c>
      <c r="K20" s="40" t="str">
        <f ca="1">IFERROR(__xludf.DUMMYFUNCTION("""COMPUTED_VALUE"""),"...")</f>
        <v>...</v>
      </c>
      <c r="L20" s="47" t="str">
        <f ca="1">IFERROR(__xludf.DUMMYFUNCTION("""COMPUTED_VALUE"""),"https://www.fullvisibility.com/hcats-contract-page")</f>
        <v>https://www.fullvisibility.com/hcats-contract-page</v>
      </c>
    </row>
    <row r="21" spans="1:12" ht="35.5" customHeight="1" x14ac:dyDescent="0.35">
      <c r="A21" s="41" t="str">
        <f ca="1">IFERROR(__xludf.DUMMYFUNCTION("""COMPUTED_VALUE"""),"GS02Q17DCR0007")</f>
        <v>GS02Q17DCR0007</v>
      </c>
      <c r="B21" s="42" t="str">
        <f ca="1">IFERROR(__xludf.DUMMYFUNCTION("""COMPUTED_VALUE"""),"Gotham Government Services LLC")</f>
        <v>Gotham Government Services LLC</v>
      </c>
      <c r="C21" s="43" t="str">
        <f ca="1">IFERROR(__xludf.DUMMYFUNCTION("""COMPUTED_VALUE"""),"N8LHLC2J9GJ7")</f>
        <v>N8LHLC2J9GJ7</v>
      </c>
      <c r="D21" s="44" t="str">
        <f ca="1">IFERROR(__xludf.DUMMYFUNCTION("""COMPUTED_VALUE"""),"2675 Logmill Rd, Haymarket, VA 20169-1215")</f>
        <v>2675 Logmill Rd, Haymarket, VA 20169-1215</v>
      </c>
      <c r="E21" s="45" t="str">
        <f ca="1">IFERROR(__xludf.DUMMYFUNCTION("""COMPUTED_VALUE"""),"Yes")</f>
        <v>Yes</v>
      </c>
      <c r="F21" s="45" t="str">
        <f ca="1">IFERROR(__xludf.DUMMYFUNCTION("""COMPUTED_VALUE"""),"...")</f>
        <v>...</v>
      </c>
      <c r="G21" s="45" t="str">
        <f ca="1">IFERROR(__xludf.DUMMYFUNCTION("""COMPUTED_VALUE"""),"Yes")</f>
        <v>Yes</v>
      </c>
      <c r="H21" s="45" t="str">
        <f ca="1">IFERROR(__xludf.DUMMYFUNCTION("""COMPUTED_VALUE"""),"Yes")</f>
        <v>Yes</v>
      </c>
      <c r="I21" s="45" t="str">
        <f ca="1">IFERROR(__xludf.DUMMYFUNCTION("""COMPUTED_VALUE"""),"Yes")</f>
        <v>Yes</v>
      </c>
      <c r="J21" s="45" t="str">
        <f ca="1">IFERROR(__xludf.DUMMYFUNCTION("""COMPUTED_VALUE"""),"...")</f>
        <v>...</v>
      </c>
      <c r="K21" s="45" t="str">
        <f ca="1">IFERROR(__xludf.DUMMYFUNCTION("""COMPUTED_VALUE"""),"...")</f>
        <v>...</v>
      </c>
      <c r="L21" s="46" t="str">
        <f ca="1">IFERROR(__xludf.DUMMYFUNCTION("""COMPUTED_VALUE"""),"https://gothamgovernment.com/contracts/hcats/")</f>
        <v>https://gothamgovernment.com/contracts/hcats/</v>
      </c>
    </row>
    <row r="22" spans="1:12" ht="35.5" customHeight="1" x14ac:dyDescent="0.35">
      <c r="A22" s="36" t="str">
        <f ca="1">IFERROR(__xludf.DUMMYFUNCTION("""COMPUTED_VALUE"""),"47QREB19D0006")</f>
        <v>47QREB19D0006</v>
      </c>
      <c r="B22" s="37" t="str">
        <f ca="1">IFERROR(__xludf.DUMMYFUNCTION("""COMPUTED_VALUE"""),"Ideation, Inc")</f>
        <v>Ideation, Inc</v>
      </c>
      <c r="C22" s="38" t="str">
        <f ca="1">IFERROR(__xludf.DUMMYFUNCTION("""COMPUTED_VALUE"""),"Q9DKE5L9U3G5")</f>
        <v>Q9DKE5L9U3G5</v>
      </c>
      <c r="D22" s="39" t="str">
        <f ca="1">IFERROR(__xludf.DUMMYFUNCTION("""COMPUTED_VALUE"""),"1768 Business Center Drive Suite 230
Reston, VA, 20190-5349 ")</f>
        <v xml:space="preserve">1768 Business Center Drive Suite 230
Reston, VA, 20190-5349 </v>
      </c>
      <c r="E22" s="40" t="str">
        <f ca="1">IFERROR(__xludf.DUMMYFUNCTION("""COMPUTED_VALUE"""),"Yes")</f>
        <v>Yes</v>
      </c>
      <c r="F22" s="40" t="str">
        <f ca="1">IFERROR(__xludf.DUMMYFUNCTION("""COMPUTED_VALUE"""),"...")</f>
        <v>...</v>
      </c>
      <c r="G22" s="40" t="str">
        <f ca="1">IFERROR(__xludf.DUMMYFUNCTION("""COMPUTED_VALUE"""),"...")</f>
        <v>...</v>
      </c>
      <c r="H22" s="40" t="str">
        <f ca="1">IFERROR(__xludf.DUMMYFUNCTION("""COMPUTED_VALUE"""),"...")</f>
        <v>...</v>
      </c>
      <c r="I22" s="40" t="str">
        <f ca="1">IFERROR(__xludf.DUMMYFUNCTION("""COMPUTED_VALUE"""),"...")</f>
        <v>...</v>
      </c>
      <c r="J22" s="40" t="str">
        <f ca="1">IFERROR(__xludf.DUMMYFUNCTION("""COMPUTED_VALUE"""),"...")</f>
        <v>...</v>
      </c>
      <c r="K22" s="40" t="str">
        <f ca="1">IFERROR(__xludf.DUMMYFUNCTION("""COMPUTED_VALUE"""),"...")</f>
        <v>...</v>
      </c>
      <c r="L22" s="47" t="str">
        <f ca="1">IFERROR(__xludf.DUMMYFUNCTION("""COMPUTED_VALUE"""),"http://www.ideationinc.com/2019/08/ideation-inc-awarded-gsa-small-business-contract-for-human-capital-and-training-solutions/")</f>
        <v>http://www.ideationinc.com/2019/08/ideation-inc-awarded-gsa-small-business-contract-for-human-capital-and-training-solutions/</v>
      </c>
    </row>
    <row r="23" spans="1:12" ht="35.5" customHeight="1" x14ac:dyDescent="0.35">
      <c r="A23" s="41" t="str">
        <f ca="1">IFERROR(__xludf.DUMMYFUNCTION("""COMPUTED_VALUE"""),"47QREB19D0008")</f>
        <v>47QREB19D0008</v>
      </c>
      <c r="B23" s="42" t="str">
        <f ca="1">IFERROR(__xludf.DUMMYFUNCTION("""COMPUTED_VALUE"""),"LinkVisum Consulting Group, Inc")</f>
        <v>LinkVisum Consulting Group, Inc</v>
      </c>
      <c r="C23" s="43" t="str">
        <f ca="1">IFERROR(__xludf.DUMMYFUNCTION("""COMPUTED_VALUE"""),"PJCLK964LYC4")</f>
        <v>PJCLK964LYC4</v>
      </c>
      <c r="D23" s="44" t="str">
        <f ca="1">IFERROR(__xludf.DUMMYFUNCTION("""COMPUTED_VALUE"""),"1660 INTERNATIONAL DR STE 600 , MC LEAN, VA 22102-4877")</f>
        <v>1660 INTERNATIONAL DR STE 600 , MC LEAN, VA 22102-4877</v>
      </c>
      <c r="E23" s="45" t="str">
        <f ca="1">IFERROR(__xludf.DUMMYFUNCTION("""COMPUTED_VALUE"""),"Yes")</f>
        <v>Yes</v>
      </c>
      <c r="F23" s="45" t="str">
        <f ca="1">IFERROR(__xludf.DUMMYFUNCTION("""COMPUTED_VALUE"""),"...")</f>
        <v>...</v>
      </c>
      <c r="G23" s="45" t="str">
        <f ca="1">IFERROR(__xludf.DUMMYFUNCTION("""COMPUTED_VALUE"""),"...")</f>
        <v>...</v>
      </c>
      <c r="H23" s="45" t="str">
        <f ca="1">IFERROR(__xludf.DUMMYFUNCTION("""COMPUTED_VALUE"""),"...")</f>
        <v>...</v>
      </c>
      <c r="I23" s="45" t="str">
        <f ca="1">IFERROR(__xludf.DUMMYFUNCTION("""COMPUTED_VALUE"""),"...")</f>
        <v>...</v>
      </c>
      <c r="J23" s="45" t="str">
        <f ca="1">IFERROR(__xludf.DUMMYFUNCTION("""COMPUTED_VALUE"""),"Yes")</f>
        <v>Yes</v>
      </c>
      <c r="K23" s="45" t="str">
        <f ca="1">IFERROR(__xludf.DUMMYFUNCTION("""COMPUTED_VALUE"""),"...")</f>
        <v>...</v>
      </c>
      <c r="L23" s="46" t="str">
        <f ca="1">IFERROR(__xludf.DUMMYFUNCTION("""COMPUTED_VALUE"""),"https://linkvisum.com/contract-vehicles/")</f>
        <v>https://linkvisum.com/contract-vehicles/</v>
      </c>
    </row>
    <row r="24" spans="1:12" ht="35.5" customHeight="1" x14ac:dyDescent="0.35">
      <c r="A24" s="36" t="str">
        <f ca="1">IFERROR(__xludf.DUMMYFUNCTION("""COMPUTED_VALUE"""),"47QREB19D0010")</f>
        <v>47QREB19D0010</v>
      </c>
      <c r="B24" s="37" t="str">
        <f ca="1">IFERROR(__xludf.DUMMYFUNCTION("""COMPUTED_VALUE"""),"METCOR Ltd. DBA Learning Systems International (LSI)")</f>
        <v>METCOR Ltd. DBA Learning Systems International (LSI)</v>
      </c>
      <c r="C24" s="38" t="str">
        <f ca="1">IFERROR(__xludf.DUMMYFUNCTION("""COMPUTED_VALUE"""),"DM65Q664LJ19")</f>
        <v>DM65Q664LJ19</v>
      </c>
      <c r="D24" s="39" t="str">
        <f ca="1">IFERROR(__xludf.DUMMYFUNCTION("""COMPUTED_VALUE"""),"1500 K ST NW STE 350
Washington, DC, 20005-1217")</f>
        <v>1500 K ST NW STE 350
Washington, DC, 20005-1217</v>
      </c>
      <c r="E24" s="40" t="str">
        <f ca="1">IFERROR(__xludf.DUMMYFUNCTION("""COMPUTED_VALUE"""),"...")</f>
        <v>...</v>
      </c>
      <c r="F24" s="40" t="str">
        <f ca="1">IFERROR(__xludf.DUMMYFUNCTION("""COMPUTED_VALUE"""),"...")</f>
        <v>...</v>
      </c>
      <c r="G24" s="40" t="str">
        <f ca="1">IFERROR(__xludf.DUMMYFUNCTION("""COMPUTED_VALUE"""),"Yes")</f>
        <v>Yes</v>
      </c>
      <c r="H24" s="40" t="str">
        <f ca="1">IFERROR(__xludf.DUMMYFUNCTION("""COMPUTED_VALUE"""),"...")</f>
        <v>...</v>
      </c>
      <c r="I24" s="40" t="str">
        <f ca="1">IFERROR(__xludf.DUMMYFUNCTION("""COMPUTED_VALUE"""),"Yes")</f>
        <v>Yes</v>
      </c>
      <c r="J24" s="40" t="str">
        <f ca="1">IFERROR(__xludf.DUMMYFUNCTION("""COMPUTED_VALUE"""),"...")</f>
        <v>...</v>
      </c>
      <c r="K24" s="40" t="str">
        <f ca="1">IFERROR(__xludf.DUMMYFUNCTION("""COMPUTED_VALUE"""),"...")</f>
        <v>...</v>
      </c>
      <c r="L24" s="47" t="str">
        <f ca="1">IFERROR(__xludf.DUMMYFUNCTION("""COMPUTED_VALUE"""),"https://lsidc.com/wp-content/uploads/2020/09/HCaTS_METCOR_LSI.pdf")</f>
        <v>https://lsidc.com/wp-content/uploads/2020/09/HCaTS_METCOR_LSI.pdf</v>
      </c>
    </row>
    <row r="25" spans="1:12" ht="35.5" customHeight="1" x14ac:dyDescent="0.35">
      <c r="A25" s="41" t="str">
        <f ca="1">IFERROR(__xludf.DUMMYFUNCTION("""COMPUTED_VALUE"""),"GS02Q16DCR0078")</f>
        <v>GS02Q16DCR0078</v>
      </c>
      <c r="B25" s="42" t="str">
        <f ca="1">IFERROR(__xludf.DUMMYFUNCTION("""COMPUTED_VALUE"""),"Pherson Associates, LLC")</f>
        <v>Pherson Associates, LLC</v>
      </c>
      <c r="C25" s="43" t="str">
        <f ca="1">IFERROR(__xludf.DUMMYFUNCTION("""COMPUTED_VALUE"""),"FFKBZ86EXD93")</f>
        <v>FFKBZ86EXD93</v>
      </c>
      <c r="D25" s="44" t="str">
        <f ca="1">IFERROR(__xludf.DUMMYFUNCTION("""COMPUTED_VALUE"""),"12110 Sunset Hills Road STE 600, Reston, VA 20190-5916")</f>
        <v>12110 Sunset Hills Road STE 600, Reston, VA 20190-5916</v>
      </c>
      <c r="E25" s="45" t="str">
        <f ca="1">IFERROR(__xludf.DUMMYFUNCTION("""COMPUTED_VALUE"""),"...")</f>
        <v>...</v>
      </c>
      <c r="F25" s="45" t="str">
        <f ca="1">IFERROR(__xludf.DUMMYFUNCTION("""COMPUTED_VALUE"""),"...")</f>
        <v>...</v>
      </c>
      <c r="G25" s="45" t="str">
        <f ca="1">IFERROR(__xludf.DUMMYFUNCTION("""COMPUTED_VALUE"""),"...")</f>
        <v>...</v>
      </c>
      <c r="H25" s="45" t="str">
        <f ca="1">IFERROR(__xludf.DUMMYFUNCTION("""COMPUTED_VALUE"""),"...")</f>
        <v>...</v>
      </c>
      <c r="I25" s="45" t="str">
        <f ca="1">IFERROR(__xludf.DUMMYFUNCTION("""COMPUTED_VALUE"""),"...")</f>
        <v>...</v>
      </c>
      <c r="J25" s="45" t="str">
        <f ca="1">IFERROR(__xludf.DUMMYFUNCTION("""COMPUTED_VALUE"""),"Yes")</f>
        <v>Yes</v>
      </c>
      <c r="K25" s="45" t="str">
        <f ca="1">IFERROR(__xludf.DUMMYFUNCTION("""COMPUTED_VALUE"""),"Yes")</f>
        <v>Yes</v>
      </c>
      <c r="L25" s="46" t="str">
        <f ca="1">IFERROR(__xludf.DUMMYFUNCTION("""COMPUTED_VALUE"""),"http://www.pherson.org/hcats/")</f>
        <v>http://www.pherson.org/hcats/</v>
      </c>
    </row>
    <row r="26" spans="1:12" ht="35.5" customHeight="1" x14ac:dyDescent="0.35">
      <c r="A26" s="36" t="str">
        <f ca="1">IFERROR(__xludf.DUMMYFUNCTION("""COMPUTED_VALUE"""),"GS02Q16DCR0079")</f>
        <v>GS02Q16DCR0079</v>
      </c>
      <c r="B26" s="37" t="str">
        <f ca="1">IFERROR(__xludf.DUMMYFUNCTION("""COMPUTED_VALUE"""),"Piton Science &amp; Technology LLC")</f>
        <v>Piton Science &amp; Technology LLC</v>
      </c>
      <c r="C26" s="38" t="str">
        <f ca="1">IFERROR(__xludf.DUMMYFUNCTION("""COMPUTED_VALUE"""),"W8SHUJ42NZ64")</f>
        <v>W8SHUJ42NZ64</v>
      </c>
      <c r="D26" s="39" t="str">
        <f ca="1">IFERROR(__xludf.DUMMYFUNCTION("""COMPUTED_VALUE"""),"2696 Linda Marie Drive, Oakton, VA 22124-1111")</f>
        <v>2696 Linda Marie Drive, Oakton, VA 22124-1111</v>
      </c>
      <c r="E26" s="40" t="str">
        <f ca="1">IFERROR(__xludf.DUMMYFUNCTION("""COMPUTED_VALUE"""),"...")</f>
        <v>...</v>
      </c>
      <c r="F26" s="40" t="str">
        <f ca="1">IFERROR(__xludf.DUMMYFUNCTION("""COMPUTED_VALUE"""),"...")</f>
        <v>...</v>
      </c>
      <c r="G26" s="40" t="str">
        <f ca="1">IFERROR(__xludf.DUMMYFUNCTION("""COMPUTED_VALUE"""),"Yes")</f>
        <v>Yes</v>
      </c>
      <c r="H26" s="40" t="str">
        <f ca="1">IFERROR(__xludf.DUMMYFUNCTION("""COMPUTED_VALUE"""),"Yes")</f>
        <v>Yes</v>
      </c>
      <c r="I26" s="40" t="str">
        <f ca="1">IFERROR(__xludf.DUMMYFUNCTION("""COMPUTED_VALUE"""),"...")</f>
        <v>...</v>
      </c>
      <c r="J26" s="40" t="str">
        <f ca="1">IFERROR(__xludf.DUMMYFUNCTION("""COMPUTED_VALUE"""),"...")</f>
        <v>...</v>
      </c>
      <c r="K26" s="40" t="str">
        <f ca="1">IFERROR(__xludf.DUMMYFUNCTION("""COMPUTED_VALUE"""),"...")</f>
        <v>...</v>
      </c>
      <c r="L26" s="47" t="str">
        <f ca="1">IFERROR(__xludf.DUMMYFUNCTION("""COMPUTED_VALUE"""),"http://www.pitonscience.com/index.php/hcats")</f>
        <v>http://www.pitonscience.com/index.php/hcats</v>
      </c>
    </row>
    <row r="27" spans="1:12" ht="35.5" customHeight="1" x14ac:dyDescent="0.35">
      <c r="A27" s="41" t="str">
        <f ca="1">IFERROR(__xludf.DUMMYFUNCTION("""COMPUTED_VALUE"""),"47QREB19D0007")</f>
        <v>47QREB19D0007</v>
      </c>
      <c r="B27" s="42" t="str">
        <f ca="1">IFERROR(__xludf.DUMMYFUNCTION("""COMPUTED_VALUE"""),"Prometheus Federal Services")</f>
        <v>Prometheus Federal Services</v>
      </c>
      <c r="C27" s="43" t="str">
        <f ca="1">IFERROR(__xludf.DUMMYFUNCTION("""COMPUTED_VALUE"""),"G6Y7CGJ7JLU6")</f>
        <v>G6Y7CGJ7JLU6</v>
      </c>
      <c r="D27" s="44" t="str">
        <f ca="1">IFERROR(__xludf.DUMMYFUNCTION("""COMPUTED_VALUE"""),"13846 Rembrandt Way
Chantilly, VA, 20151-3255 ")</f>
        <v xml:space="preserve">13846 Rembrandt Way
Chantilly, VA, 20151-3255 </v>
      </c>
      <c r="E27" s="45" t="str">
        <f ca="1">IFERROR(__xludf.DUMMYFUNCTION("""COMPUTED_VALUE"""),"...")</f>
        <v>...</v>
      </c>
      <c r="F27" s="45" t="str">
        <f ca="1">IFERROR(__xludf.DUMMYFUNCTION("""COMPUTED_VALUE"""),"...")</f>
        <v>...</v>
      </c>
      <c r="G27" s="45" t="str">
        <f ca="1">IFERROR(__xludf.DUMMYFUNCTION("""COMPUTED_VALUE"""),"Yes")</f>
        <v>Yes</v>
      </c>
      <c r="H27" s="45" t="str">
        <f ca="1">IFERROR(__xludf.DUMMYFUNCTION("""COMPUTED_VALUE"""),"Yes")</f>
        <v>Yes</v>
      </c>
      <c r="I27" s="45" t="str">
        <f ca="1">IFERROR(__xludf.DUMMYFUNCTION("""COMPUTED_VALUE"""),"Yes")</f>
        <v>Yes</v>
      </c>
      <c r="J27" s="45" t="str">
        <f ca="1">IFERROR(__xludf.DUMMYFUNCTION("""COMPUTED_VALUE"""),"...")</f>
        <v>...</v>
      </c>
      <c r="K27" s="45" t="str">
        <f ca="1">IFERROR(__xludf.DUMMYFUNCTION("""COMPUTED_VALUE"""),"...")</f>
        <v>...</v>
      </c>
      <c r="L27" s="46" t="str">
        <f ca="1">IFERROR(__xludf.DUMMYFUNCTION("""COMPUTED_VALUE"""),"https://pfs.us/about/contract-vehicles/gsa-hcats/")</f>
        <v>https://pfs.us/about/contract-vehicles/gsa-hcats/</v>
      </c>
    </row>
    <row r="28" spans="1:12" ht="35.5" customHeight="1" x14ac:dyDescent="0.35">
      <c r="A28" s="36" t="str">
        <f ca="1">IFERROR(__xludf.DUMMYFUNCTION("""COMPUTED_VALUE"""),"47QREB19D0015")</f>
        <v>47QREB19D0015</v>
      </c>
      <c r="B28" s="37" t="str">
        <f ca="1">IFERROR(__xludf.DUMMYFUNCTION("""COMPUTED_VALUE"""),"R3 Government Solutions, LLC")</f>
        <v>R3 Government Solutions, LLC</v>
      </c>
      <c r="C28" s="38" t="str">
        <f ca="1">IFERROR(__xludf.DUMMYFUNCTION("""COMPUTED_VALUE"""),"EANSA1SCLJV6")</f>
        <v>EANSA1SCLJV6</v>
      </c>
      <c r="D28" s="39" t="str">
        <f ca="1">IFERROR(__xludf.DUMMYFUNCTION("""COMPUTED_VALUE"""),"4201 Wilson Boulevard, 3rd Floor, Arlington, VA 22203")</f>
        <v>4201 Wilson Boulevard, 3rd Floor, Arlington, VA 22203</v>
      </c>
      <c r="E28" s="40" t="str">
        <f ca="1">IFERROR(__xludf.DUMMYFUNCTION("""COMPUTED_VALUE"""),"...")</f>
        <v>...</v>
      </c>
      <c r="F28" s="40" t="str">
        <f ca="1">IFERROR(__xludf.DUMMYFUNCTION("""COMPUTED_VALUE"""),"...")</f>
        <v>...</v>
      </c>
      <c r="G28" s="40" t="str">
        <f ca="1">IFERROR(__xludf.DUMMYFUNCTION("""COMPUTED_VALUE"""),"...")</f>
        <v>...</v>
      </c>
      <c r="H28" s="40" t="str">
        <f ca="1">IFERROR(__xludf.DUMMYFUNCTION("""COMPUTED_VALUE"""),"...")</f>
        <v>...</v>
      </c>
      <c r="I28" s="40" t="str">
        <f ca="1">IFERROR(__xludf.DUMMYFUNCTION("""COMPUTED_VALUE"""),"...")</f>
        <v>...</v>
      </c>
      <c r="J28" s="40" t="str">
        <f ca="1">IFERROR(__xludf.DUMMYFUNCTION("""COMPUTED_VALUE"""),"Yes")</f>
        <v>Yes</v>
      </c>
      <c r="K28" s="40" t="str">
        <f ca="1">IFERROR(__xludf.DUMMYFUNCTION("""COMPUTED_VALUE"""),"...")</f>
        <v>...</v>
      </c>
      <c r="L28" s="47" t="str">
        <f ca="1">IFERROR(__xludf.DUMMYFUNCTION("""COMPUTED_VALUE"""),"https://www.r3consulting.com/human-capital-and-training-solutions-overview/")</f>
        <v>https://www.r3consulting.com/human-capital-and-training-solutions-overview/</v>
      </c>
    </row>
    <row r="29" spans="1:12" ht="35.5" customHeight="1" x14ac:dyDescent="0.35">
      <c r="A29" s="41" t="str">
        <f ca="1">IFERROR(__xludf.DUMMYFUNCTION("""COMPUTED_VALUE"""),"47QREB19D0017")</f>
        <v>47QREB19D0017</v>
      </c>
      <c r="B29" s="42" t="str">
        <f ca="1">IFERROR(__xludf.DUMMYFUNCTION("""COMPUTED_VALUE"""),"Reed Integration, Inc")</f>
        <v>Reed Integration, Inc</v>
      </c>
      <c r="C29" s="43" t="str">
        <f ca="1">IFERROR(__xludf.DUMMYFUNCTION("""COMPUTED_VALUE"""),"MK8TCWKYQM13")</f>
        <v>MK8TCWKYQM13</v>
      </c>
      <c r="D29" s="44" t="str">
        <f ca="1">IFERROR(__xludf.DUMMYFUNCTION("""COMPUTED_VALUE"""),"7007 Harbour View Bldv Ste 117
Suffolk, VA, 23435-3657 ")</f>
        <v xml:space="preserve">7007 Harbour View Bldv Ste 117
Suffolk, VA, 23435-3657 </v>
      </c>
      <c r="E29" s="45" t="str">
        <f ca="1">IFERROR(__xludf.DUMMYFUNCTION("""COMPUTED_VALUE"""),"...")</f>
        <v>...</v>
      </c>
      <c r="F29" s="45" t="str">
        <f ca="1">IFERROR(__xludf.DUMMYFUNCTION("""COMPUTED_VALUE"""),"...")</f>
        <v>...</v>
      </c>
      <c r="G29" s="45" t="str">
        <f ca="1">IFERROR(__xludf.DUMMYFUNCTION("""COMPUTED_VALUE"""),"...")</f>
        <v>...</v>
      </c>
      <c r="H29" s="45" t="str">
        <f ca="1">IFERROR(__xludf.DUMMYFUNCTION("""COMPUTED_VALUE"""),"...")</f>
        <v>...</v>
      </c>
      <c r="I29" s="45" t="str">
        <f ca="1">IFERROR(__xludf.DUMMYFUNCTION("""COMPUTED_VALUE"""),"...")</f>
        <v>...</v>
      </c>
      <c r="J29" s="45" t="str">
        <f ca="1">IFERROR(__xludf.DUMMYFUNCTION("""COMPUTED_VALUE"""),"Yes")</f>
        <v>Yes</v>
      </c>
      <c r="K29" s="45" t="str">
        <f ca="1">IFERROR(__xludf.DUMMYFUNCTION("""COMPUTED_VALUE"""),"Yes")</f>
        <v>Yes</v>
      </c>
      <c r="L29" s="46" t="str">
        <f ca="1">IFERROR(__xludf.DUMMYFUNCTION("""COMPUTED_VALUE"""),"https://reedintegration.com/hcats/")</f>
        <v>https://reedintegration.com/hcats/</v>
      </c>
    </row>
    <row r="30" spans="1:12" ht="35.5" customHeight="1" x14ac:dyDescent="0.35">
      <c r="A30" s="36" t="str">
        <f ca="1">IFERROR(__xludf.DUMMYFUNCTION("""COMPUTED_VALUE"""),"47QREB19D0025")</f>
        <v>47QREB19D0025</v>
      </c>
      <c r="B30" s="37" t="str">
        <f ca="1">IFERROR(__xludf.DUMMYFUNCTION("""COMPUTED_VALUE"""),"Synovix FKA Whitespace Innovations, Inc")</f>
        <v>Synovix FKA Whitespace Innovations, Inc</v>
      </c>
      <c r="C30" s="38" t="str">
        <f ca="1">IFERROR(__xludf.DUMMYFUNCTION("""COMPUTED_VALUE"""),"HNETQXJ3WAL7")</f>
        <v>HNETQXJ3WAL7</v>
      </c>
      <c r="D30" s="39" t="str">
        <f ca="1">IFERROR(__xludf.DUMMYFUNCTION("""COMPUTED_VALUE"""),"4900 Corporate Drive NW, Suite A
Huntsville, AL 35805-6214")</f>
        <v>4900 Corporate Drive NW, Suite A
Huntsville, AL 35805-6214</v>
      </c>
      <c r="E30" s="40" t="str">
        <f ca="1">IFERROR(__xludf.DUMMYFUNCTION("""COMPUTED_VALUE"""),"...")</f>
        <v>...</v>
      </c>
      <c r="F30" s="40" t="str">
        <f ca="1">IFERROR(__xludf.DUMMYFUNCTION("""COMPUTED_VALUE"""),"...")</f>
        <v>...</v>
      </c>
      <c r="G30" s="40" t="str">
        <f ca="1">IFERROR(__xludf.DUMMYFUNCTION("""COMPUTED_VALUE"""),"Yes")</f>
        <v>Yes</v>
      </c>
      <c r="H30" s="40" t="str">
        <f ca="1">IFERROR(__xludf.DUMMYFUNCTION("""COMPUTED_VALUE"""),"...")</f>
        <v>...</v>
      </c>
      <c r="I30" s="40" t="str">
        <f ca="1">IFERROR(__xludf.DUMMYFUNCTION("""COMPUTED_VALUE"""),"...")</f>
        <v>...</v>
      </c>
      <c r="J30" s="40" t="str">
        <f ca="1">IFERROR(__xludf.DUMMYFUNCTION("""COMPUTED_VALUE"""),"...")</f>
        <v>...</v>
      </c>
      <c r="K30" s="40" t="str">
        <f ca="1">IFERROR(__xludf.DUMMYFUNCTION("""COMPUTED_VALUE"""),"...")</f>
        <v>...</v>
      </c>
      <c r="L30" s="47" t="str">
        <f ca="1">IFERROR(__xludf.DUMMYFUNCTION("""COMPUTED_VALUE"""),"http://www.whitespaceinnovations.com/workforce-innovations-human-capital-and-training-solutions/")</f>
        <v>http://www.whitespaceinnovations.com/workforce-innovations-human-capital-and-training-solutions/</v>
      </c>
    </row>
    <row r="31" spans="1:12" ht="35.5" customHeight="1" x14ac:dyDescent="0.35">
      <c r="A31" s="41" t="str">
        <f ca="1">IFERROR(__xludf.DUMMYFUNCTION("""COMPUTED_VALUE"""),"47QREB19D0019")</f>
        <v>47QREB19D0019</v>
      </c>
      <c r="B31" s="42" t="str">
        <f ca="1">IFERROR(__xludf.DUMMYFUNCTION("""COMPUTED_VALUE"""),"TADE Group LLC")</f>
        <v>TADE Group LLC</v>
      </c>
      <c r="C31" s="43" t="str">
        <f ca="1">IFERROR(__xludf.DUMMYFUNCTION("""COMPUTED_VALUE"""),"LAM9RVDARVK4")</f>
        <v>LAM9RVDARVK4</v>
      </c>
      <c r="D31" s="44" t="str">
        <f ca="1">IFERROR(__xludf.DUMMYFUNCTION("""COMPUTED_VALUE"""),"1725 I St NW Ste 300
Washington, DC, 20006-2423")</f>
        <v>1725 I St NW Ste 300
Washington, DC, 20006-2423</v>
      </c>
      <c r="E31" s="45" t="str">
        <f ca="1">IFERROR(__xludf.DUMMYFUNCTION("""COMPUTED_VALUE"""),"Yes")</f>
        <v>Yes</v>
      </c>
      <c r="F31" s="45" t="str">
        <f ca="1">IFERROR(__xludf.DUMMYFUNCTION("""COMPUTED_VALUE"""),"...")</f>
        <v>...</v>
      </c>
      <c r="G31" s="45" t="str">
        <f ca="1">IFERROR(__xludf.DUMMYFUNCTION("""COMPUTED_VALUE"""),"...")</f>
        <v>...</v>
      </c>
      <c r="H31" s="45" t="str">
        <f ca="1">IFERROR(__xludf.DUMMYFUNCTION("""COMPUTED_VALUE"""),"...")</f>
        <v>...</v>
      </c>
      <c r="I31" s="45" t="str">
        <f ca="1">IFERROR(__xludf.DUMMYFUNCTION("""COMPUTED_VALUE"""),"...")</f>
        <v>...</v>
      </c>
      <c r="J31" s="45" t="str">
        <f ca="1">IFERROR(__xludf.DUMMYFUNCTION("""COMPUTED_VALUE"""),"Yes")</f>
        <v>Yes</v>
      </c>
      <c r="K31" s="45" t="str">
        <f ca="1">IFERROR(__xludf.DUMMYFUNCTION("""COMPUTED_VALUE"""),"Yes")</f>
        <v>Yes</v>
      </c>
      <c r="L31" s="46" t="str">
        <f ca="1">IFERROR(__xludf.DUMMYFUNCTION("""COMPUTED_VALUE"""),"https://www.tadegroup.com/contracts/hcats/")</f>
        <v>https://www.tadegroup.com/contracts/hcats/</v>
      </c>
    </row>
    <row r="32" spans="1:12" ht="35.5" customHeight="1" x14ac:dyDescent="0.35">
      <c r="A32" s="36" t="str">
        <f ca="1">IFERROR(__xludf.DUMMYFUNCTION("""COMPUTED_VALUE"""),"47QREB19D0021")</f>
        <v>47QREB19D0021</v>
      </c>
      <c r="B32" s="37" t="str">
        <f ca="1">IFERROR(__xludf.DUMMYFUNCTION("""COMPUTED_VALUE"""),"Team Carney, Inc")</f>
        <v>Team Carney, Inc</v>
      </c>
      <c r="C32" s="38" t="str">
        <f ca="1">IFERROR(__xludf.DUMMYFUNCTION("""COMPUTED_VALUE"""),"KCJVUZCD13K3")</f>
        <v>KCJVUZCD13K3</v>
      </c>
      <c r="D32" s="39" t="str">
        <f ca="1">IFERROR(__xludf.DUMMYFUNCTION("""COMPUTED_VALUE"""),"7621 Admiral Dr.
Alexandria, VA 22308-1071
")</f>
        <v xml:space="preserve">7621 Admiral Dr.
Alexandria, VA 22308-1071
</v>
      </c>
      <c r="E32" s="40" t="str">
        <f ca="1">IFERROR(__xludf.DUMMYFUNCTION("""COMPUTED_VALUE"""),"...")</f>
        <v>...</v>
      </c>
      <c r="F32" s="40" t="str">
        <f ca="1">IFERROR(__xludf.DUMMYFUNCTION("""COMPUTED_VALUE"""),"...")</f>
        <v>...</v>
      </c>
      <c r="G32" s="40" t="str">
        <f ca="1">IFERROR(__xludf.DUMMYFUNCTION("""COMPUTED_VALUE"""),"...")</f>
        <v>...</v>
      </c>
      <c r="H32" s="40" t="str">
        <f ca="1">IFERROR(__xludf.DUMMYFUNCTION("""COMPUTED_VALUE"""),"...")</f>
        <v>...</v>
      </c>
      <c r="I32" s="40" t="str">
        <f ca="1">IFERROR(__xludf.DUMMYFUNCTION("""COMPUTED_VALUE"""),"...")</f>
        <v>...</v>
      </c>
      <c r="J32" s="40" t="str">
        <f ca="1">IFERROR(__xludf.DUMMYFUNCTION("""COMPUTED_VALUE"""),"...")</f>
        <v>...</v>
      </c>
      <c r="K32" s="40" t="str">
        <f ca="1">IFERROR(__xludf.DUMMYFUNCTION("""COMPUTED_VALUE"""),"...")</f>
        <v>...</v>
      </c>
      <c r="L32" s="47" t="str">
        <f ca="1">IFERROR(__xludf.DUMMYFUNCTION("""COMPUTED_VALUE"""),"http://www.teamcarney.com/working-with-carney/contract-vehicles/gsa-opm-hcats/")</f>
        <v>http://www.teamcarney.com/working-with-carney/contract-vehicles/gsa-opm-hcats/</v>
      </c>
    </row>
    <row r="33" spans="1:12" ht="35.5" customHeight="1" x14ac:dyDescent="0.35">
      <c r="A33" s="41" t="str">
        <f ca="1">IFERROR(__xludf.DUMMYFUNCTION("""COMPUTED_VALUE"""),"47QREB19D0013")</f>
        <v>47QREB19D0013</v>
      </c>
      <c r="B33" s="42" t="str">
        <f ca="1">IFERROR(__xludf.DUMMYFUNCTION("""COMPUTED_VALUE"""),"The Agile-Group, LLC")</f>
        <v>The Agile-Group, LLC</v>
      </c>
      <c r="C33" s="43" t="str">
        <f ca="1">IFERROR(__xludf.DUMMYFUNCTION("""COMPUTED_VALUE"""),"H4GTW5J78FL6")</f>
        <v>H4GTW5J78FL6</v>
      </c>
      <c r="D33" s="44" t="str">
        <f ca="1">IFERROR(__xludf.DUMMYFUNCTION("""COMPUTED_VALUE"""),"3003 Silver Ave SE
Albuquerque, NM, 87106-2243")</f>
        <v>3003 Silver Ave SE
Albuquerque, NM, 87106-2243</v>
      </c>
      <c r="E33" s="45" t="str">
        <f ca="1">IFERROR(__xludf.DUMMYFUNCTION("""COMPUTED_VALUE"""),"Yes")</f>
        <v>Yes</v>
      </c>
      <c r="F33" s="45" t="str">
        <f ca="1">IFERROR(__xludf.DUMMYFUNCTION("""COMPUTED_VALUE"""),"...")</f>
        <v>...</v>
      </c>
      <c r="G33" s="45" t="str">
        <f ca="1">IFERROR(__xludf.DUMMYFUNCTION("""COMPUTED_VALUE"""),"...")</f>
        <v>...</v>
      </c>
      <c r="H33" s="45" t="str">
        <f ca="1">IFERROR(__xludf.DUMMYFUNCTION("""COMPUTED_VALUE"""),"...")</f>
        <v>...</v>
      </c>
      <c r="I33" s="45" t="str">
        <f ca="1">IFERROR(__xludf.DUMMYFUNCTION("""COMPUTED_VALUE"""),"...")</f>
        <v>...</v>
      </c>
      <c r="J33" s="45" t="str">
        <f ca="1">IFERROR(__xludf.DUMMYFUNCTION("""COMPUTED_VALUE"""),"Yes")</f>
        <v>Yes</v>
      </c>
      <c r="K33" s="45" t="str">
        <f ca="1">IFERROR(__xludf.DUMMYFUNCTION("""COMPUTED_VALUE"""),"Yes")</f>
        <v>Yes</v>
      </c>
      <c r="L33" s="46" t="str">
        <f ca="1">IFERROR(__xludf.DUMMYFUNCTION("""COMPUTED_VALUE"""),"https://www.agilegroupusa.com/hcats/")</f>
        <v>https://www.agilegroupusa.com/hcats/</v>
      </c>
    </row>
    <row r="34" spans="1:12" ht="35.5" customHeight="1" x14ac:dyDescent="0.35">
      <c r="A34" s="36" t="str">
        <f ca="1">IFERROR(__xludf.DUMMYFUNCTION("""COMPUTED_VALUE"""),"47QREB19D0011")</f>
        <v>47QREB19D0011</v>
      </c>
      <c r="B34" s="37" t="str">
        <f ca="1">IFERROR(__xludf.DUMMYFUNCTION("""COMPUTED_VALUE"""),"The Arbinger Company")</f>
        <v>The Arbinger Company</v>
      </c>
      <c r="C34" s="38" t="str">
        <f ca="1">IFERROR(__xludf.DUMMYFUNCTION("""COMPUTED_VALUE"""),"XDJYKQ4BVTJ3")</f>
        <v>XDJYKQ4BVTJ3</v>
      </c>
      <c r="D34" s="39" t="str">
        <f ca="1">IFERROR(__xludf.DUMMYFUNCTION("""COMPUTED_VALUE"""),"1379 N 1075 W Ste 100
Farmington, UT, 84025-2711")</f>
        <v>1379 N 1075 W Ste 100
Farmington, UT, 84025-2711</v>
      </c>
      <c r="E34" s="48" t="str">
        <f ca="1">IFERROR(__xludf.DUMMYFUNCTION("""COMPUTED_VALUE"""),"...")</f>
        <v>...</v>
      </c>
      <c r="F34" s="48" t="str">
        <f ca="1">IFERROR(__xludf.DUMMYFUNCTION("""COMPUTED_VALUE"""),"...")</f>
        <v>...</v>
      </c>
      <c r="G34" s="48" t="str">
        <f ca="1">IFERROR(__xludf.DUMMYFUNCTION("""COMPUTED_VALUE"""),"...")</f>
        <v>...</v>
      </c>
      <c r="H34" s="48" t="str">
        <f ca="1">IFERROR(__xludf.DUMMYFUNCTION("""COMPUTED_VALUE"""),"...")</f>
        <v>...</v>
      </c>
      <c r="I34" s="48" t="str">
        <f ca="1">IFERROR(__xludf.DUMMYFUNCTION("""COMPUTED_VALUE"""),"...")</f>
        <v>...</v>
      </c>
      <c r="J34" s="48" t="str">
        <f ca="1">IFERROR(__xludf.DUMMYFUNCTION("""COMPUTED_VALUE"""),"...")</f>
        <v>...</v>
      </c>
      <c r="K34" s="48" t="str">
        <f ca="1">IFERROR(__xludf.DUMMYFUNCTION("""COMPUTED_VALUE"""),"...")</f>
        <v>...</v>
      </c>
      <c r="L34" s="47" t="str">
        <f ca="1">IFERROR(__xludf.DUMMYFUNCTION("""COMPUTED_VALUE"""),"https://arbinger.com/government.html")</f>
        <v>https://arbinger.com/government.html</v>
      </c>
    </row>
    <row r="35" spans="1:12" ht="35.5" customHeight="1" x14ac:dyDescent="0.35">
      <c r="A35" s="41"/>
      <c r="B35" s="42"/>
      <c r="C35" s="43"/>
      <c r="D35" s="44"/>
      <c r="E35" s="49"/>
      <c r="F35" s="49"/>
      <c r="G35" s="49"/>
      <c r="H35" s="49"/>
      <c r="I35" s="49"/>
      <c r="J35" s="49"/>
      <c r="K35" s="49"/>
      <c r="L35" s="44"/>
    </row>
    <row r="36" spans="1:12" ht="35.5" customHeight="1" x14ac:dyDescent="0.35">
      <c r="A36" s="36"/>
      <c r="B36" s="37"/>
      <c r="C36" s="38"/>
      <c r="D36" s="39"/>
      <c r="E36" s="48"/>
      <c r="F36" s="48"/>
      <c r="G36" s="48"/>
      <c r="H36" s="48"/>
      <c r="I36" s="48"/>
      <c r="J36" s="48"/>
      <c r="K36" s="48"/>
      <c r="L36" s="39"/>
    </row>
    <row r="37" spans="1:12" ht="35.5" customHeight="1" x14ac:dyDescent="0.35">
      <c r="A37" s="41"/>
      <c r="B37" s="42"/>
      <c r="C37" s="43"/>
      <c r="D37" s="44"/>
      <c r="E37" s="49"/>
      <c r="F37" s="49"/>
      <c r="G37" s="49"/>
      <c r="H37" s="49"/>
      <c r="I37" s="49"/>
      <c r="J37" s="49"/>
      <c r="K37" s="49"/>
      <c r="L37" s="44"/>
    </row>
    <row r="38" spans="1:12" ht="35.5" customHeight="1" x14ac:dyDescent="0.35">
      <c r="A38" s="36"/>
      <c r="B38" s="37"/>
      <c r="C38" s="38"/>
      <c r="D38" s="39"/>
      <c r="E38" s="48"/>
      <c r="F38" s="48"/>
      <c r="G38" s="48"/>
      <c r="H38" s="48"/>
      <c r="I38" s="48"/>
      <c r="J38" s="48"/>
      <c r="K38" s="48"/>
      <c r="L38" s="39"/>
    </row>
    <row r="39" spans="1:12" ht="35.5" customHeight="1" x14ac:dyDescent="0.35">
      <c r="A39" s="41"/>
      <c r="B39" s="42"/>
      <c r="C39" s="43"/>
      <c r="D39" s="44"/>
      <c r="E39" s="49"/>
      <c r="F39" s="49"/>
      <c r="G39" s="49"/>
      <c r="H39" s="49"/>
      <c r="I39" s="49"/>
      <c r="J39" s="49"/>
      <c r="K39" s="49"/>
      <c r="L39" s="44"/>
    </row>
    <row r="40" spans="1:12" ht="35.5" customHeight="1" x14ac:dyDescent="0.35">
      <c r="A40" s="36"/>
      <c r="B40" s="37"/>
      <c r="C40" s="38"/>
      <c r="D40" s="39"/>
      <c r="E40" s="48"/>
      <c r="F40" s="48"/>
      <c r="G40" s="48"/>
      <c r="H40" s="48"/>
      <c r="I40" s="48"/>
      <c r="J40" s="48"/>
      <c r="K40" s="48"/>
      <c r="L40" s="39"/>
    </row>
    <row r="41" spans="1:12" ht="35.5" customHeight="1" x14ac:dyDescent="0.35">
      <c r="A41" s="41"/>
      <c r="B41" s="42"/>
      <c r="C41" s="43"/>
      <c r="D41" s="44"/>
      <c r="E41" s="49"/>
      <c r="F41" s="49"/>
      <c r="G41" s="49"/>
      <c r="H41" s="49"/>
      <c r="I41" s="49"/>
      <c r="J41" s="49"/>
      <c r="K41" s="49"/>
      <c r="L41" s="44"/>
    </row>
    <row r="42" spans="1:12" ht="35.5" customHeight="1" x14ac:dyDescent="0.35">
      <c r="A42" s="36"/>
      <c r="B42" s="37"/>
      <c r="C42" s="38"/>
      <c r="D42" s="39"/>
      <c r="E42" s="48"/>
      <c r="F42" s="48"/>
      <c r="G42" s="48"/>
      <c r="H42" s="48"/>
      <c r="I42" s="48"/>
      <c r="J42" s="48"/>
      <c r="K42" s="48"/>
      <c r="L42" s="39"/>
    </row>
    <row r="43" spans="1:12" ht="35.5" customHeight="1" x14ac:dyDescent="0.35">
      <c r="A43" s="41"/>
      <c r="B43" s="42"/>
      <c r="C43" s="43"/>
      <c r="D43" s="44"/>
      <c r="E43" s="49"/>
      <c r="F43" s="49"/>
      <c r="G43" s="49"/>
      <c r="H43" s="49"/>
      <c r="I43" s="49"/>
      <c r="J43" s="49"/>
      <c r="K43" s="49"/>
      <c r="L43" s="44"/>
    </row>
    <row r="44" spans="1:12" ht="35.5" customHeight="1" x14ac:dyDescent="0.35">
      <c r="A44" s="36"/>
      <c r="B44" s="37"/>
      <c r="C44" s="38"/>
      <c r="D44" s="39"/>
      <c r="E44" s="48"/>
      <c r="F44" s="48"/>
      <c r="G44" s="48"/>
      <c r="H44" s="48"/>
      <c r="I44" s="48"/>
      <c r="J44" s="48"/>
      <c r="K44" s="48"/>
      <c r="L44" s="39"/>
    </row>
    <row r="45" spans="1:12" ht="35.5" customHeight="1" x14ac:dyDescent="0.35">
      <c r="A45" s="41"/>
      <c r="B45" s="42"/>
      <c r="C45" s="43"/>
      <c r="D45" s="44"/>
      <c r="E45" s="49"/>
      <c r="F45" s="49"/>
      <c r="G45" s="49"/>
      <c r="H45" s="49"/>
      <c r="I45" s="49"/>
      <c r="J45" s="49"/>
      <c r="K45" s="49"/>
      <c r="L45" s="44"/>
    </row>
    <row r="46" spans="1:12" ht="35.5" customHeight="1" x14ac:dyDescent="0.35">
      <c r="A46" s="36"/>
      <c r="B46" s="37"/>
      <c r="C46" s="38"/>
      <c r="D46" s="39"/>
      <c r="E46" s="48"/>
      <c r="F46" s="48"/>
      <c r="G46" s="48"/>
      <c r="H46" s="48"/>
      <c r="I46" s="48"/>
      <c r="J46" s="48"/>
      <c r="K46" s="48"/>
      <c r="L46" s="39"/>
    </row>
    <row r="47" spans="1:12" ht="35.5" customHeight="1" x14ac:dyDescent="0.35">
      <c r="A47" s="41"/>
      <c r="B47" s="42"/>
      <c r="C47" s="43"/>
      <c r="D47" s="44"/>
      <c r="E47" s="49"/>
      <c r="F47" s="49"/>
      <c r="G47" s="49"/>
      <c r="H47" s="49"/>
      <c r="I47" s="49"/>
      <c r="J47" s="49"/>
      <c r="K47" s="49"/>
      <c r="L47" s="44"/>
    </row>
    <row r="48" spans="1:12" ht="35.5" customHeight="1" x14ac:dyDescent="0.35">
      <c r="A48" s="36"/>
      <c r="B48" s="37"/>
      <c r="C48" s="38"/>
      <c r="D48" s="39"/>
      <c r="E48" s="48"/>
      <c r="F48" s="48"/>
      <c r="G48" s="48"/>
      <c r="H48" s="48"/>
      <c r="I48" s="48"/>
      <c r="J48" s="48"/>
      <c r="K48" s="48"/>
      <c r="L48" s="39"/>
    </row>
    <row r="49" spans="1:12" ht="35.5" customHeight="1" x14ac:dyDescent="0.35">
      <c r="A49" s="41"/>
      <c r="B49" s="42"/>
      <c r="C49" s="43"/>
      <c r="D49" s="44"/>
      <c r="E49" s="49"/>
      <c r="F49" s="49"/>
      <c r="G49" s="49"/>
      <c r="H49" s="49"/>
      <c r="I49" s="49"/>
      <c r="J49" s="49"/>
      <c r="K49" s="49"/>
      <c r="L49" s="44"/>
    </row>
    <row r="50" spans="1:12" ht="35.5" customHeight="1" x14ac:dyDescent="0.35">
      <c r="A50" s="36"/>
      <c r="B50" s="37"/>
      <c r="C50" s="38"/>
      <c r="D50" s="39"/>
      <c r="E50" s="48"/>
      <c r="F50" s="48"/>
      <c r="G50" s="48"/>
      <c r="H50" s="48"/>
      <c r="I50" s="48"/>
      <c r="J50" s="48"/>
      <c r="K50" s="48"/>
      <c r="L50" s="39"/>
    </row>
    <row r="51" spans="1:12" ht="35.5" customHeight="1" x14ac:dyDescent="0.35">
      <c r="A51" s="41"/>
      <c r="B51" s="42"/>
      <c r="C51" s="43"/>
      <c r="D51" s="44"/>
      <c r="E51" s="49"/>
      <c r="F51" s="49"/>
      <c r="G51" s="49"/>
      <c r="H51" s="49"/>
      <c r="I51" s="49"/>
      <c r="J51" s="49"/>
      <c r="K51" s="49"/>
      <c r="L51" s="44"/>
    </row>
    <row r="52" spans="1:12" ht="35.5" customHeight="1" x14ac:dyDescent="0.35">
      <c r="A52" s="36"/>
      <c r="B52" s="37"/>
      <c r="C52" s="38"/>
      <c r="D52" s="39"/>
      <c r="E52" s="48"/>
      <c r="F52" s="48"/>
      <c r="G52" s="48"/>
      <c r="H52" s="48"/>
      <c r="I52" s="48"/>
      <c r="J52" s="48"/>
      <c r="K52" s="48"/>
      <c r="L52" s="39"/>
    </row>
    <row r="53" spans="1:12" ht="35.5" customHeight="1" x14ac:dyDescent="0.35">
      <c r="A53" s="41"/>
      <c r="B53" s="42"/>
      <c r="C53" s="43"/>
      <c r="D53" s="44"/>
      <c r="E53" s="49"/>
      <c r="F53" s="49"/>
      <c r="G53" s="49"/>
      <c r="H53" s="49"/>
      <c r="I53" s="49"/>
      <c r="J53" s="49"/>
      <c r="K53" s="49"/>
      <c r="L53" s="44"/>
    </row>
    <row r="54" spans="1:12" ht="35.5" customHeight="1" x14ac:dyDescent="0.35">
      <c r="A54" s="36"/>
      <c r="B54" s="37"/>
      <c r="C54" s="38"/>
      <c r="D54" s="39"/>
      <c r="E54" s="48"/>
      <c r="F54" s="48"/>
      <c r="G54" s="48"/>
      <c r="H54" s="48"/>
      <c r="I54" s="48"/>
      <c r="J54" s="48"/>
      <c r="K54" s="48"/>
      <c r="L54" s="39"/>
    </row>
    <row r="55" spans="1:12" ht="35.5" customHeight="1" x14ac:dyDescent="0.35">
      <c r="A55" s="41"/>
      <c r="B55" s="42"/>
      <c r="C55" s="43"/>
      <c r="D55" s="44"/>
      <c r="E55" s="49"/>
      <c r="F55" s="49"/>
      <c r="G55" s="49"/>
      <c r="H55" s="49"/>
      <c r="I55" s="49"/>
      <c r="J55" s="49"/>
      <c r="K55" s="49"/>
      <c r="L55" s="44"/>
    </row>
    <row r="56" spans="1:12" ht="35.5" customHeight="1" x14ac:dyDescent="0.35">
      <c r="A56" s="36"/>
      <c r="B56" s="37"/>
      <c r="C56" s="38"/>
      <c r="D56" s="39"/>
      <c r="E56" s="48"/>
      <c r="F56" s="48"/>
      <c r="G56" s="48"/>
      <c r="H56" s="48"/>
      <c r="I56" s="48"/>
      <c r="J56" s="48"/>
      <c r="K56" s="48"/>
      <c r="L56" s="39"/>
    </row>
    <row r="57" spans="1:12" ht="35.5" customHeight="1" x14ac:dyDescent="0.35">
      <c r="A57" s="41"/>
      <c r="B57" s="42"/>
      <c r="C57" s="43"/>
      <c r="D57" s="44"/>
      <c r="E57" s="49"/>
      <c r="F57" s="49"/>
      <c r="G57" s="49"/>
      <c r="H57" s="49"/>
      <c r="I57" s="49"/>
      <c r="J57" s="49"/>
      <c r="K57" s="49"/>
      <c r="L57" s="44"/>
    </row>
    <row r="58" spans="1:12" ht="35.5" customHeight="1" x14ac:dyDescent="0.35">
      <c r="A58" s="36"/>
      <c r="B58" s="37"/>
      <c r="C58" s="38"/>
      <c r="D58" s="39"/>
      <c r="E58" s="48"/>
      <c r="F58" s="48"/>
      <c r="G58" s="48"/>
      <c r="H58" s="48"/>
      <c r="I58" s="48"/>
      <c r="J58" s="48"/>
      <c r="K58" s="48"/>
      <c r="L58" s="39"/>
    </row>
    <row r="59" spans="1:12" ht="35.5" customHeight="1" x14ac:dyDescent="0.35">
      <c r="A59" s="41"/>
      <c r="B59" s="42"/>
      <c r="C59" s="43"/>
      <c r="D59" s="44"/>
      <c r="E59" s="49"/>
      <c r="F59" s="49"/>
      <c r="G59" s="49"/>
      <c r="H59" s="49"/>
      <c r="I59" s="49"/>
      <c r="J59" s="49"/>
      <c r="K59" s="49"/>
      <c r="L59" s="44"/>
    </row>
    <row r="60" spans="1:12" ht="35.5" customHeight="1" x14ac:dyDescent="0.35">
      <c r="A60" s="36"/>
      <c r="B60" s="37"/>
      <c r="C60" s="38"/>
      <c r="D60" s="39"/>
      <c r="E60" s="48"/>
      <c r="F60" s="48"/>
      <c r="G60" s="48"/>
      <c r="H60" s="48"/>
      <c r="I60" s="48"/>
      <c r="J60" s="48"/>
      <c r="K60" s="48"/>
      <c r="L60" s="39"/>
    </row>
    <row r="61" spans="1:12" ht="35.5" customHeight="1" x14ac:dyDescent="0.35">
      <c r="A61" s="41"/>
      <c r="B61" s="42"/>
      <c r="C61" s="43"/>
      <c r="D61" s="44"/>
      <c r="E61" s="49"/>
      <c r="F61" s="49"/>
      <c r="G61" s="49"/>
      <c r="H61" s="49"/>
      <c r="I61" s="49"/>
      <c r="J61" s="49"/>
      <c r="K61" s="49"/>
      <c r="L61" s="44"/>
    </row>
    <row r="62" spans="1:12" ht="35.5" customHeight="1" x14ac:dyDescent="0.35">
      <c r="A62" s="36"/>
      <c r="B62" s="37"/>
      <c r="C62" s="38"/>
      <c r="D62" s="39"/>
      <c r="E62" s="48"/>
      <c r="F62" s="48"/>
      <c r="G62" s="48"/>
      <c r="H62" s="48"/>
      <c r="I62" s="48"/>
      <c r="J62" s="48"/>
      <c r="K62" s="48"/>
      <c r="L62" s="39"/>
    </row>
    <row r="63" spans="1:12" ht="35.5" customHeight="1" x14ac:dyDescent="0.35">
      <c r="A63" s="41"/>
      <c r="B63" s="42"/>
      <c r="C63" s="43"/>
      <c r="D63" s="44"/>
      <c r="E63" s="49"/>
      <c r="F63" s="49"/>
      <c r="G63" s="49"/>
      <c r="H63" s="49"/>
      <c r="I63" s="49"/>
      <c r="J63" s="49"/>
      <c r="K63" s="49"/>
      <c r="L63" s="44"/>
    </row>
    <row r="64" spans="1:12" ht="35.5" customHeight="1" x14ac:dyDescent="0.35">
      <c r="A64" s="36"/>
      <c r="B64" s="37"/>
      <c r="C64" s="38"/>
      <c r="D64" s="39"/>
      <c r="E64" s="48"/>
      <c r="F64" s="48"/>
      <c r="G64" s="48"/>
      <c r="H64" s="48"/>
      <c r="I64" s="48"/>
      <c r="J64" s="48"/>
      <c r="K64" s="48"/>
      <c r="L64" s="39"/>
    </row>
    <row r="65" spans="1:12" ht="35.5" customHeight="1" x14ac:dyDescent="0.35">
      <c r="A65" s="41"/>
      <c r="B65" s="42"/>
      <c r="C65" s="43"/>
      <c r="D65" s="44"/>
      <c r="E65" s="49"/>
      <c r="F65" s="49"/>
      <c r="G65" s="49"/>
      <c r="H65" s="49"/>
      <c r="I65" s="49"/>
      <c r="J65" s="49"/>
      <c r="K65" s="49"/>
      <c r="L65" s="44"/>
    </row>
    <row r="66" spans="1:12" ht="35.5" customHeight="1" x14ac:dyDescent="0.35">
      <c r="A66" s="36"/>
      <c r="B66" s="37"/>
      <c r="C66" s="38"/>
      <c r="D66" s="39"/>
      <c r="E66" s="48"/>
      <c r="F66" s="48"/>
      <c r="G66" s="48"/>
      <c r="H66" s="48"/>
      <c r="I66" s="48"/>
      <c r="J66" s="48"/>
      <c r="K66" s="48"/>
      <c r="L66" s="39"/>
    </row>
    <row r="67" spans="1:12" ht="35.5" customHeight="1" x14ac:dyDescent="0.35">
      <c r="A67" s="41"/>
      <c r="B67" s="42"/>
      <c r="C67" s="43"/>
      <c r="D67" s="44"/>
      <c r="E67" s="49"/>
      <c r="F67" s="49"/>
      <c r="G67" s="49"/>
      <c r="H67" s="49"/>
      <c r="I67" s="49"/>
      <c r="J67" s="49"/>
      <c r="K67" s="49"/>
      <c r="L67" s="44"/>
    </row>
    <row r="68" spans="1:12" ht="35.5" customHeight="1" x14ac:dyDescent="0.35">
      <c r="A68" s="36"/>
      <c r="B68" s="37"/>
      <c r="C68" s="38"/>
      <c r="D68" s="39"/>
      <c r="E68" s="48"/>
      <c r="F68" s="48"/>
      <c r="G68" s="48"/>
      <c r="H68" s="48"/>
      <c r="I68" s="48"/>
      <c r="J68" s="48"/>
      <c r="K68" s="48"/>
      <c r="L68" s="39"/>
    </row>
    <row r="69" spans="1:12" ht="35.5" customHeight="1" x14ac:dyDescent="0.35">
      <c r="A69" s="41"/>
      <c r="B69" s="42"/>
      <c r="C69" s="43"/>
      <c r="D69" s="44"/>
      <c r="E69" s="49"/>
      <c r="F69" s="49"/>
      <c r="G69" s="49"/>
      <c r="H69" s="49"/>
      <c r="I69" s="49"/>
      <c r="J69" s="49"/>
      <c r="K69" s="49"/>
      <c r="L69" s="44"/>
    </row>
    <row r="70" spans="1:12" ht="35.5" customHeight="1" x14ac:dyDescent="0.35">
      <c r="A70" s="36"/>
      <c r="B70" s="37"/>
      <c r="C70" s="38"/>
      <c r="D70" s="39"/>
      <c r="E70" s="48"/>
      <c r="F70" s="48"/>
      <c r="G70" s="48"/>
      <c r="H70" s="48"/>
      <c r="I70" s="48"/>
      <c r="J70" s="48"/>
      <c r="K70" s="48"/>
      <c r="L70" s="39"/>
    </row>
    <row r="71" spans="1:12" ht="35.5" customHeight="1" x14ac:dyDescent="0.35">
      <c r="A71" s="41"/>
      <c r="B71" s="42"/>
      <c r="C71" s="43"/>
      <c r="D71" s="44"/>
      <c r="E71" s="49"/>
      <c r="F71" s="49"/>
      <c r="G71" s="49"/>
      <c r="H71" s="49"/>
      <c r="I71" s="49"/>
      <c r="J71" s="49"/>
      <c r="K71" s="49"/>
      <c r="L71" s="44"/>
    </row>
    <row r="72" spans="1:12" ht="35.5" customHeight="1" x14ac:dyDescent="0.35">
      <c r="A72" s="36"/>
      <c r="B72" s="37"/>
      <c r="C72" s="38"/>
      <c r="D72" s="39"/>
      <c r="E72" s="48"/>
      <c r="F72" s="48"/>
      <c r="G72" s="48"/>
      <c r="H72" s="48"/>
      <c r="I72" s="48"/>
      <c r="J72" s="48"/>
      <c r="K72" s="48"/>
      <c r="L72" s="39"/>
    </row>
    <row r="73" spans="1:12" ht="35.5" customHeight="1" x14ac:dyDescent="0.35">
      <c r="A73" s="41"/>
      <c r="B73" s="42"/>
      <c r="C73" s="43"/>
      <c r="D73" s="44"/>
      <c r="E73" s="49"/>
      <c r="F73" s="49"/>
      <c r="G73" s="49"/>
      <c r="H73" s="49"/>
      <c r="I73" s="49"/>
      <c r="J73" s="49"/>
      <c r="K73" s="49"/>
      <c r="L73" s="44"/>
    </row>
    <row r="74" spans="1:12" ht="35.5" customHeight="1" x14ac:dyDescent="0.35">
      <c r="A74" s="36"/>
      <c r="B74" s="37"/>
      <c r="C74" s="38"/>
      <c r="D74" s="39"/>
      <c r="E74" s="48"/>
      <c r="F74" s="48"/>
      <c r="G74" s="48"/>
      <c r="H74" s="48"/>
      <c r="I74" s="48"/>
      <c r="J74" s="48"/>
      <c r="K74" s="48"/>
      <c r="L74" s="39"/>
    </row>
    <row r="75" spans="1:12" ht="35.5" customHeight="1" x14ac:dyDescent="0.35">
      <c r="A75" s="41"/>
      <c r="B75" s="42"/>
      <c r="C75" s="43"/>
      <c r="D75" s="44"/>
      <c r="E75" s="49"/>
      <c r="F75" s="49"/>
      <c r="G75" s="49"/>
      <c r="H75" s="49"/>
      <c r="I75" s="49"/>
      <c r="J75" s="49"/>
      <c r="K75" s="49"/>
      <c r="L75" s="44"/>
    </row>
    <row r="76" spans="1:12" ht="35.5" customHeight="1" x14ac:dyDescent="0.35">
      <c r="A76" s="36"/>
      <c r="B76" s="37"/>
      <c r="C76" s="38"/>
      <c r="D76" s="39"/>
      <c r="E76" s="48"/>
      <c r="F76" s="48"/>
      <c r="G76" s="48"/>
      <c r="H76" s="48"/>
      <c r="I76" s="48"/>
      <c r="J76" s="48"/>
      <c r="K76" s="48"/>
      <c r="L76" s="39"/>
    </row>
    <row r="77" spans="1:12" ht="35.5" customHeight="1" x14ac:dyDescent="0.35">
      <c r="A77" s="41"/>
      <c r="B77" s="42"/>
      <c r="C77" s="43"/>
      <c r="D77" s="44"/>
      <c r="E77" s="49"/>
      <c r="F77" s="49"/>
      <c r="G77" s="49"/>
      <c r="H77" s="49"/>
      <c r="I77" s="49"/>
      <c r="J77" s="49"/>
      <c r="K77" s="49"/>
      <c r="L77" s="44"/>
    </row>
    <row r="78" spans="1:12" ht="35.5" customHeight="1" x14ac:dyDescent="0.35">
      <c r="A78" s="36"/>
      <c r="B78" s="37"/>
      <c r="C78" s="38"/>
      <c r="D78" s="39"/>
      <c r="E78" s="48"/>
      <c r="F78" s="48"/>
      <c r="G78" s="48"/>
      <c r="H78" s="48"/>
      <c r="I78" s="48"/>
      <c r="J78" s="48"/>
      <c r="K78" s="48"/>
      <c r="L78" s="39"/>
    </row>
    <row r="79" spans="1:12" ht="35.5" customHeight="1" x14ac:dyDescent="0.35">
      <c r="A79" s="41"/>
      <c r="B79" s="42"/>
      <c r="C79" s="43"/>
      <c r="D79" s="44"/>
      <c r="E79" s="49"/>
      <c r="F79" s="49"/>
      <c r="G79" s="49"/>
      <c r="H79" s="49"/>
      <c r="I79" s="49"/>
      <c r="J79" s="49"/>
      <c r="K79" s="49"/>
      <c r="L79" s="44"/>
    </row>
    <row r="80" spans="1:12" ht="35.5" customHeight="1" x14ac:dyDescent="0.35">
      <c r="A80" s="36"/>
      <c r="B80" s="37"/>
      <c r="C80" s="38"/>
      <c r="D80" s="39"/>
      <c r="E80" s="48"/>
      <c r="F80" s="48"/>
      <c r="G80" s="48"/>
      <c r="H80" s="48"/>
      <c r="I80" s="48"/>
      <c r="J80" s="48"/>
      <c r="K80" s="48"/>
      <c r="L80" s="39"/>
    </row>
    <row r="81" spans="1:12" ht="35.5" customHeight="1" x14ac:dyDescent="0.35">
      <c r="A81" s="41"/>
      <c r="B81" s="42"/>
      <c r="C81" s="43"/>
      <c r="D81" s="44"/>
      <c r="E81" s="49"/>
      <c r="F81" s="49"/>
      <c r="G81" s="49"/>
      <c r="H81" s="49"/>
      <c r="I81" s="49"/>
      <c r="J81" s="49"/>
      <c r="K81" s="49"/>
      <c r="L81" s="44"/>
    </row>
    <row r="82" spans="1:12" ht="35.5" customHeight="1" x14ac:dyDescent="0.35">
      <c r="A82" s="36"/>
      <c r="B82" s="37"/>
      <c r="C82" s="38"/>
      <c r="D82" s="39"/>
      <c r="E82" s="48"/>
      <c r="F82" s="48"/>
      <c r="G82" s="48"/>
      <c r="H82" s="48"/>
      <c r="I82" s="48"/>
      <c r="J82" s="48"/>
      <c r="K82" s="48"/>
      <c r="L82" s="39"/>
    </row>
    <row r="83" spans="1:12" ht="35.5" customHeight="1" x14ac:dyDescent="0.35">
      <c r="A83" s="41"/>
      <c r="B83" s="42"/>
      <c r="C83" s="43"/>
      <c r="D83" s="44"/>
      <c r="E83" s="49"/>
      <c r="F83" s="49"/>
      <c r="G83" s="49"/>
      <c r="H83" s="49"/>
      <c r="I83" s="49"/>
      <c r="J83" s="49"/>
      <c r="K83" s="49"/>
      <c r="L83" s="44"/>
    </row>
    <row r="84" spans="1:12" ht="35.5" customHeight="1" x14ac:dyDescent="0.35">
      <c r="A84" s="36"/>
      <c r="B84" s="37"/>
      <c r="C84" s="38"/>
      <c r="D84" s="39"/>
      <c r="E84" s="48"/>
      <c r="F84" s="48"/>
      <c r="G84" s="48"/>
      <c r="H84" s="48"/>
      <c r="I84" s="48"/>
      <c r="J84" s="48"/>
      <c r="K84" s="48"/>
      <c r="L84" s="39"/>
    </row>
    <row r="85" spans="1:12" ht="35.5" customHeight="1" x14ac:dyDescent="0.35">
      <c r="A85" s="41"/>
      <c r="B85" s="42"/>
      <c r="C85" s="43"/>
      <c r="D85" s="44"/>
      <c r="E85" s="49"/>
      <c r="F85" s="49"/>
      <c r="G85" s="49"/>
      <c r="H85" s="49"/>
      <c r="I85" s="49"/>
      <c r="J85" s="49"/>
      <c r="K85" s="49"/>
      <c r="L85" s="44"/>
    </row>
    <row r="86" spans="1:12" ht="35.5" customHeight="1" x14ac:dyDescent="0.35">
      <c r="A86" s="36"/>
      <c r="B86" s="37"/>
      <c r="C86" s="38"/>
      <c r="D86" s="39"/>
      <c r="E86" s="48"/>
      <c r="F86" s="48"/>
      <c r="G86" s="48"/>
      <c r="H86" s="48"/>
      <c r="I86" s="48"/>
      <c r="J86" s="48"/>
      <c r="K86" s="48"/>
      <c r="L86" s="39"/>
    </row>
    <row r="87" spans="1:12" ht="35.5" customHeight="1" x14ac:dyDescent="0.35">
      <c r="A87" s="41"/>
      <c r="B87" s="42"/>
      <c r="C87" s="43"/>
      <c r="D87" s="44"/>
      <c r="E87" s="49"/>
      <c r="F87" s="49"/>
      <c r="G87" s="49"/>
      <c r="H87" s="49"/>
      <c r="I87" s="49"/>
      <c r="J87" s="49"/>
      <c r="K87" s="49"/>
      <c r="L87" s="44"/>
    </row>
    <row r="88" spans="1:12" ht="35.5" customHeight="1" x14ac:dyDescent="0.35">
      <c r="A88" s="36"/>
      <c r="B88" s="37"/>
      <c r="C88" s="38"/>
      <c r="D88" s="39"/>
      <c r="E88" s="48"/>
      <c r="F88" s="48"/>
      <c r="G88" s="48"/>
      <c r="H88" s="48"/>
      <c r="I88" s="48"/>
      <c r="J88" s="48"/>
      <c r="K88" s="48"/>
      <c r="L88" s="39"/>
    </row>
    <row r="89" spans="1:12" ht="35.5" customHeight="1" x14ac:dyDescent="0.35">
      <c r="A89" s="41"/>
      <c r="B89" s="42"/>
      <c r="C89" s="43"/>
      <c r="D89" s="44"/>
      <c r="E89" s="49"/>
      <c r="F89" s="49"/>
      <c r="G89" s="49"/>
      <c r="H89" s="49"/>
      <c r="I89" s="49"/>
      <c r="J89" s="49"/>
      <c r="K89" s="49"/>
      <c r="L89" s="44"/>
    </row>
    <row r="90" spans="1:12" ht="35.5" customHeight="1" x14ac:dyDescent="0.35">
      <c r="A90" s="36"/>
      <c r="B90" s="37"/>
      <c r="C90" s="38"/>
      <c r="D90" s="39"/>
      <c r="E90" s="48"/>
      <c r="F90" s="48"/>
      <c r="G90" s="48"/>
      <c r="H90" s="48"/>
      <c r="I90" s="48"/>
      <c r="J90" s="48"/>
      <c r="K90" s="48"/>
      <c r="L90" s="39"/>
    </row>
    <row r="91" spans="1:12" ht="35.5" customHeight="1" x14ac:dyDescent="0.35">
      <c r="A91" s="41"/>
      <c r="B91" s="42"/>
      <c r="C91" s="43"/>
      <c r="D91" s="44"/>
      <c r="E91" s="49"/>
      <c r="F91" s="49"/>
      <c r="G91" s="49"/>
      <c r="H91" s="49"/>
      <c r="I91" s="49"/>
      <c r="J91" s="49"/>
      <c r="K91" s="49"/>
      <c r="L91" s="44"/>
    </row>
    <row r="92" spans="1:12" ht="35.5" customHeight="1" x14ac:dyDescent="0.35">
      <c r="A92" s="36"/>
      <c r="B92" s="37"/>
      <c r="C92" s="38"/>
      <c r="D92" s="39"/>
      <c r="E92" s="48"/>
      <c r="F92" s="48"/>
      <c r="G92" s="48"/>
      <c r="H92" s="48"/>
      <c r="I92" s="48"/>
      <c r="J92" s="48"/>
      <c r="K92" s="48"/>
      <c r="L92" s="39"/>
    </row>
    <row r="93" spans="1:12" ht="35.5" customHeight="1" x14ac:dyDescent="0.35">
      <c r="A93" s="41"/>
      <c r="B93" s="42"/>
      <c r="C93" s="43"/>
      <c r="D93" s="44"/>
      <c r="E93" s="49"/>
      <c r="F93" s="49"/>
      <c r="G93" s="49"/>
      <c r="H93" s="49"/>
      <c r="I93" s="49"/>
      <c r="J93" s="49"/>
      <c r="K93" s="49"/>
      <c r="L93" s="44"/>
    </row>
    <row r="94" spans="1:12" ht="35.5" customHeight="1" x14ac:dyDescent="0.35">
      <c r="A94" s="36"/>
      <c r="B94" s="37"/>
      <c r="C94" s="38"/>
      <c r="D94" s="39"/>
      <c r="E94" s="48"/>
      <c r="F94" s="48"/>
      <c r="G94" s="48"/>
      <c r="H94" s="48"/>
      <c r="I94" s="48"/>
      <c r="J94" s="48"/>
      <c r="K94" s="48"/>
      <c r="L94" s="39"/>
    </row>
    <row r="95" spans="1:12" ht="35.5" customHeight="1" x14ac:dyDescent="0.35">
      <c r="A95" s="41"/>
      <c r="B95" s="42"/>
      <c r="C95" s="43"/>
      <c r="D95" s="44"/>
      <c r="E95" s="49"/>
      <c r="F95" s="49"/>
      <c r="G95" s="49"/>
      <c r="H95" s="49"/>
      <c r="I95" s="49"/>
      <c r="J95" s="49"/>
      <c r="K95" s="49"/>
      <c r="L95" s="44"/>
    </row>
    <row r="96" spans="1:12" ht="35.5" customHeight="1" x14ac:dyDescent="0.35">
      <c r="A96" s="36"/>
      <c r="B96" s="37"/>
      <c r="C96" s="38"/>
      <c r="D96" s="39"/>
      <c r="E96" s="48"/>
      <c r="F96" s="48"/>
      <c r="G96" s="48"/>
      <c r="H96" s="48"/>
      <c r="I96" s="48"/>
      <c r="J96" s="48"/>
      <c r="K96" s="48"/>
      <c r="L96" s="39"/>
    </row>
    <row r="97" spans="1:12" ht="35.5" customHeight="1" x14ac:dyDescent="0.35">
      <c r="A97" s="41"/>
      <c r="B97" s="42"/>
      <c r="C97" s="43"/>
      <c r="D97" s="44"/>
      <c r="E97" s="49"/>
      <c r="F97" s="49"/>
      <c r="G97" s="49"/>
      <c r="H97" s="49"/>
      <c r="I97" s="49"/>
      <c r="J97" s="49"/>
      <c r="K97" s="49"/>
      <c r="L97" s="44"/>
    </row>
    <row r="98" spans="1:12" ht="35.5" customHeight="1" x14ac:dyDescent="0.35">
      <c r="A98" s="36"/>
      <c r="B98" s="37"/>
      <c r="C98" s="38"/>
      <c r="D98" s="39"/>
      <c r="E98" s="48"/>
      <c r="F98" s="48"/>
      <c r="G98" s="48"/>
      <c r="H98" s="48"/>
      <c r="I98" s="48"/>
      <c r="J98" s="48"/>
      <c r="K98" s="48"/>
      <c r="L98" s="39"/>
    </row>
    <row r="99" spans="1:12" ht="35.5" customHeight="1" x14ac:dyDescent="0.35">
      <c r="A99" s="41"/>
      <c r="B99" s="42"/>
      <c r="C99" s="43"/>
      <c r="D99" s="44"/>
      <c r="E99" s="49"/>
      <c r="F99" s="49"/>
      <c r="G99" s="49"/>
      <c r="H99" s="49"/>
      <c r="I99" s="49"/>
      <c r="J99" s="49"/>
      <c r="K99" s="49"/>
      <c r="L99" s="44"/>
    </row>
    <row r="100" spans="1:12" ht="35.5" customHeight="1" x14ac:dyDescent="0.35">
      <c r="A100" s="36"/>
      <c r="B100" s="37"/>
      <c r="C100" s="38"/>
      <c r="D100" s="39"/>
      <c r="E100" s="48"/>
      <c r="F100" s="48"/>
      <c r="G100" s="48"/>
      <c r="H100" s="48"/>
      <c r="I100" s="48"/>
      <c r="J100" s="48"/>
      <c r="K100" s="48"/>
      <c r="L100" s="39"/>
    </row>
    <row r="101" spans="1:12" ht="35.5" customHeight="1" x14ac:dyDescent="0.35">
      <c r="A101" s="41"/>
      <c r="B101" s="42"/>
      <c r="C101" s="43"/>
      <c r="D101" s="44"/>
      <c r="E101" s="49"/>
      <c r="F101" s="49"/>
      <c r="G101" s="49"/>
      <c r="H101" s="49"/>
      <c r="I101" s="49"/>
      <c r="J101" s="49"/>
      <c r="K101" s="49"/>
      <c r="L101" s="44"/>
    </row>
    <row r="102" spans="1:12" ht="35.5" customHeight="1" x14ac:dyDescent="0.35">
      <c r="A102" s="36"/>
      <c r="B102" s="37"/>
      <c r="C102" s="38"/>
      <c r="D102" s="39"/>
      <c r="E102" s="48"/>
      <c r="F102" s="48"/>
      <c r="G102" s="48"/>
      <c r="H102" s="48"/>
      <c r="I102" s="48"/>
      <c r="J102" s="48"/>
      <c r="K102" s="48"/>
      <c r="L102" s="39"/>
    </row>
    <row r="103" spans="1:12" ht="35.5" customHeight="1" x14ac:dyDescent="0.35">
      <c r="A103" s="41"/>
      <c r="B103" s="42"/>
      <c r="C103" s="43"/>
      <c r="D103" s="44"/>
      <c r="E103" s="49"/>
      <c r="F103" s="49"/>
      <c r="G103" s="49"/>
      <c r="H103" s="49"/>
      <c r="I103" s="49"/>
      <c r="J103" s="49"/>
      <c r="K103" s="49"/>
      <c r="L103" s="44"/>
    </row>
    <row r="104" spans="1:12" ht="35.5" customHeight="1" x14ac:dyDescent="0.35">
      <c r="A104" s="36"/>
      <c r="B104" s="37"/>
      <c r="C104" s="38"/>
      <c r="D104" s="39"/>
      <c r="E104" s="48"/>
      <c r="F104" s="48"/>
      <c r="G104" s="48"/>
      <c r="H104" s="48"/>
      <c r="I104" s="48"/>
      <c r="J104" s="48"/>
      <c r="K104" s="48"/>
      <c r="L104" s="39"/>
    </row>
    <row r="105" spans="1:12" ht="35.5" customHeight="1" x14ac:dyDescent="0.35">
      <c r="A105" s="41"/>
      <c r="B105" s="42"/>
      <c r="C105" s="43"/>
      <c r="D105" s="44"/>
      <c r="E105" s="49"/>
      <c r="F105" s="49"/>
      <c r="G105" s="49"/>
      <c r="H105" s="49"/>
      <c r="I105" s="49"/>
      <c r="J105" s="49"/>
      <c r="K105" s="49"/>
      <c r="L105" s="44"/>
    </row>
    <row r="106" spans="1:12" ht="35.5" customHeight="1" x14ac:dyDescent="0.35">
      <c r="A106" s="36"/>
      <c r="B106" s="37"/>
      <c r="C106" s="38"/>
      <c r="D106" s="39"/>
      <c r="E106" s="48"/>
      <c r="F106" s="48"/>
      <c r="G106" s="48"/>
      <c r="H106" s="48"/>
      <c r="I106" s="48"/>
      <c r="J106" s="48"/>
      <c r="K106" s="48"/>
      <c r="L106" s="39"/>
    </row>
    <row r="107" spans="1:12" ht="35.5" customHeight="1" x14ac:dyDescent="0.35">
      <c r="A107" s="41"/>
      <c r="B107" s="42"/>
      <c r="C107" s="43"/>
      <c r="D107" s="44"/>
      <c r="E107" s="49"/>
      <c r="F107" s="49"/>
      <c r="G107" s="49"/>
      <c r="H107" s="49"/>
      <c r="I107" s="49"/>
      <c r="J107" s="49"/>
      <c r="K107" s="49"/>
      <c r="L107" s="44"/>
    </row>
    <row r="108" spans="1:12" ht="35.5" customHeight="1" x14ac:dyDescent="0.35">
      <c r="A108" s="36"/>
      <c r="B108" s="37"/>
      <c r="C108" s="38"/>
      <c r="D108" s="39"/>
      <c r="E108" s="48"/>
      <c r="F108" s="48"/>
      <c r="G108" s="48"/>
      <c r="H108" s="48"/>
      <c r="I108" s="48"/>
      <c r="J108" s="48"/>
      <c r="K108" s="48"/>
      <c r="L108" s="39"/>
    </row>
    <row r="109" spans="1:12" ht="35.5" customHeight="1" x14ac:dyDescent="0.35">
      <c r="A109" s="41"/>
      <c r="B109" s="42"/>
      <c r="C109" s="43"/>
      <c r="D109" s="44"/>
      <c r="E109" s="49"/>
      <c r="F109" s="49"/>
      <c r="G109" s="49"/>
      <c r="H109" s="49"/>
      <c r="I109" s="49"/>
      <c r="J109" s="49"/>
      <c r="K109" s="49"/>
      <c r="L109" s="44"/>
    </row>
    <row r="110" spans="1:12" ht="35.5" customHeight="1" x14ac:dyDescent="0.35">
      <c r="A110" s="36"/>
      <c r="B110" s="37"/>
      <c r="C110" s="38"/>
      <c r="D110" s="39"/>
      <c r="E110" s="48"/>
      <c r="F110" s="48"/>
      <c r="G110" s="48"/>
      <c r="H110" s="48"/>
      <c r="I110" s="48"/>
      <c r="J110" s="48"/>
      <c r="K110" s="48"/>
      <c r="L110" s="39"/>
    </row>
    <row r="111" spans="1:12" ht="35.5" customHeight="1" x14ac:dyDescent="0.35">
      <c r="A111" s="41"/>
      <c r="B111" s="42"/>
      <c r="C111" s="43"/>
      <c r="D111" s="44"/>
      <c r="E111" s="49"/>
      <c r="F111" s="49"/>
      <c r="G111" s="49"/>
      <c r="H111" s="49"/>
      <c r="I111" s="49"/>
      <c r="J111" s="49"/>
      <c r="K111" s="49"/>
      <c r="L111" s="44"/>
    </row>
    <row r="112" spans="1:12" ht="35.5" customHeight="1" x14ac:dyDescent="0.35">
      <c r="A112" s="36"/>
      <c r="B112" s="37"/>
      <c r="C112" s="38"/>
      <c r="D112" s="39"/>
      <c r="E112" s="48"/>
      <c r="F112" s="48"/>
      <c r="G112" s="48"/>
      <c r="H112" s="48"/>
      <c r="I112" s="48"/>
      <c r="J112" s="48"/>
      <c r="K112" s="48"/>
      <c r="L112" s="39"/>
    </row>
    <row r="113" spans="1:12" ht="35.5" customHeight="1" x14ac:dyDescent="0.35">
      <c r="A113" s="41"/>
      <c r="B113" s="42"/>
      <c r="C113" s="43"/>
      <c r="D113" s="44"/>
      <c r="E113" s="49"/>
      <c r="F113" s="49"/>
      <c r="G113" s="49"/>
      <c r="H113" s="49"/>
      <c r="I113" s="49"/>
      <c r="J113" s="49"/>
      <c r="K113" s="49"/>
      <c r="L113" s="44"/>
    </row>
    <row r="114" spans="1:12" ht="35.5" customHeight="1" x14ac:dyDescent="0.35">
      <c r="A114" s="36"/>
      <c r="B114" s="37"/>
      <c r="C114" s="38"/>
      <c r="D114" s="39"/>
      <c r="E114" s="48"/>
      <c r="F114" s="48"/>
      <c r="G114" s="48"/>
      <c r="H114" s="48"/>
      <c r="I114" s="48"/>
      <c r="J114" s="48"/>
      <c r="K114" s="48"/>
      <c r="L114" s="39"/>
    </row>
    <row r="115" spans="1:12" ht="35.5" customHeight="1" x14ac:dyDescent="0.35">
      <c r="A115" s="41"/>
      <c r="B115" s="42"/>
      <c r="C115" s="43"/>
      <c r="D115" s="44"/>
      <c r="E115" s="49"/>
      <c r="F115" s="49"/>
      <c r="G115" s="49"/>
      <c r="H115" s="49"/>
      <c r="I115" s="49"/>
      <c r="J115" s="49"/>
      <c r="K115" s="49"/>
      <c r="L115" s="44"/>
    </row>
    <row r="116" spans="1:12" ht="35.5" customHeight="1" x14ac:dyDescent="0.35">
      <c r="A116" s="36"/>
      <c r="B116" s="37"/>
      <c r="C116" s="38"/>
      <c r="D116" s="39"/>
      <c r="E116" s="48"/>
      <c r="F116" s="48"/>
      <c r="G116" s="48"/>
      <c r="H116" s="48"/>
      <c r="I116" s="48"/>
      <c r="J116" s="48"/>
      <c r="K116" s="48"/>
      <c r="L116" s="39"/>
    </row>
    <row r="117" spans="1:12" ht="35.5" customHeight="1" x14ac:dyDescent="0.35">
      <c r="A117" s="41"/>
      <c r="B117" s="42"/>
      <c r="C117" s="43"/>
      <c r="D117" s="44"/>
      <c r="E117" s="49"/>
      <c r="F117" s="49"/>
      <c r="G117" s="49"/>
      <c r="H117" s="49"/>
      <c r="I117" s="49"/>
      <c r="J117" s="49"/>
      <c r="K117" s="49"/>
      <c r="L117" s="44"/>
    </row>
    <row r="118" spans="1:12" ht="35.5" customHeight="1" x14ac:dyDescent="0.35">
      <c r="A118" s="36"/>
      <c r="B118" s="37"/>
      <c r="C118" s="38"/>
      <c r="D118" s="39"/>
      <c r="E118" s="48"/>
      <c r="F118" s="48"/>
      <c r="G118" s="48"/>
      <c r="H118" s="48"/>
      <c r="I118" s="48"/>
      <c r="J118" s="48"/>
      <c r="K118" s="48"/>
      <c r="L118" s="39"/>
    </row>
    <row r="119" spans="1:12" ht="35.5" customHeight="1" x14ac:dyDescent="0.35">
      <c r="A119" s="41"/>
      <c r="B119" s="42"/>
      <c r="C119" s="43"/>
      <c r="D119" s="44"/>
      <c r="E119" s="49"/>
      <c r="F119" s="49"/>
      <c r="G119" s="49"/>
      <c r="H119" s="49"/>
      <c r="I119" s="49"/>
      <c r="J119" s="49"/>
      <c r="K119" s="49"/>
      <c r="L119" s="44"/>
    </row>
    <row r="120" spans="1:12" ht="35.5" customHeight="1" x14ac:dyDescent="0.35">
      <c r="A120" s="36"/>
      <c r="B120" s="37"/>
      <c r="C120" s="38"/>
      <c r="D120" s="39"/>
      <c r="E120" s="48"/>
      <c r="F120" s="48"/>
      <c r="G120" s="48"/>
      <c r="H120" s="48"/>
      <c r="I120" s="48"/>
      <c r="J120" s="48"/>
      <c r="K120" s="48"/>
      <c r="L120" s="39"/>
    </row>
    <row r="121" spans="1:12" ht="35.5" customHeight="1" x14ac:dyDescent="0.35">
      <c r="A121" s="41"/>
      <c r="B121" s="42"/>
      <c r="C121" s="43"/>
      <c r="D121" s="44"/>
      <c r="E121" s="49"/>
      <c r="F121" s="49"/>
      <c r="G121" s="49"/>
      <c r="H121" s="49"/>
      <c r="I121" s="49"/>
      <c r="J121" s="49"/>
      <c r="K121" s="49"/>
      <c r="L121" s="44"/>
    </row>
    <row r="122" spans="1:12" ht="35.5" customHeight="1" x14ac:dyDescent="0.35">
      <c r="A122" s="36"/>
      <c r="B122" s="37"/>
      <c r="C122" s="38"/>
      <c r="D122" s="39"/>
      <c r="E122" s="48"/>
      <c r="F122" s="48"/>
      <c r="G122" s="48"/>
      <c r="H122" s="48"/>
      <c r="I122" s="48"/>
      <c r="J122" s="48"/>
      <c r="K122" s="48"/>
      <c r="L122" s="39"/>
    </row>
    <row r="123" spans="1:12" ht="35.5" customHeight="1" x14ac:dyDescent="0.35">
      <c r="A123" s="41"/>
      <c r="B123" s="42"/>
      <c r="C123" s="43"/>
      <c r="D123" s="44"/>
      <c r="E123" s="49"/>
      <c r="F123" s="49"/>
      <c r="G123" s="49"/>
      <c r="H123" s="49"/>
      <c r="I123" s="49"/>
      <c r="J123" s="49"/>
      <c r="K123" s="49"/>
      <c r="L123" s="44"/>
    </row>
    <row r="124" spans="1:12" ht="35.5" customHeight="1" x14ac:dyDescent="0.35">
      <c r="A124" s="36"/>
      <c r="B124" s="37"/>
      <c r="C124" s="38"/>
      <c r="D124" s="39"/>
      <c r="E124" s="48"/>
      <c r="F124" s="48"/>
      <c r="G124" s="48"/>
      <c r="H124" s="48"/>
      <c r="I124" s="48"/>
      <c r="J124" s="48"/>
      <c r="K124" s="48"/>
      <c r="L124" s="39"/>
    </row>
    <row r="125" spans="1:12" ht="35.5" customHeight="1" x14ac:dyDescent="0.35">
      <c r="A125" s="41"/>
      <c r="B125" s="42"/>
      <c r="C125" s="43"/>
      <c r="D125" s="44"/>
      <c r="E125" s="49"/>
      <c r="F125" s="49"/>
      <c r="G125" s="49"/>
      <c r="H125" s="49"/>
      <c r="I125" s="49"/>
      <c r="J125" s="49"/>
      <c r="K125" s="49"/>
      <c r="L125" s="44"/>
    </row>
    <row r="126" spans="1:12" ht="35.5" customHeight="1" x14ac:dyDescent="0.35">
      <c r="A126" s="36"/>
      <c r="B126" s="37"/>
      <c r="C126" s="38"/>
      <c r="D126" s="39"/>
      <c r="E126" s="48"/>
      <c r="F126" s="48"/>
      <c r="G126" s="48"/>
      <c r="H126" s="48"/>
      <c r="I126" s="48"/>
      <c r="J126" s="48"/>
      <c r="K126" s="48"/>
      <c r="L126" s="39"/>
    </row>
    <row r="127" spans="1:12" ht="35.5" customHeight="1" x14ac:dyDescent="0.35">
      <c r="A127" s="41"/>
      <c r="B127" s="42"/>
      <c r="C127" s="43"/>
      <c r="D127" s="44"/>
      <c r="E127" s="49"/>
      <c r="F127" s="49"/>
      <c r="G127" s="49"/>
      <c r="H127" s="49"/>
      <c r="I127" s="49"/>
      <c r="J127" s="49"/>
      <c r="K127" s="49"/>
      <c r="L127" s="44"/>
    </row>
    <row r="128" spans="1:12" ht="35.5" customHeight="1" x14ac:dyDescent="0.35">
      <c r="A128" s="36"/>
      <c r="B128" s="37"/>
      <c r="C128" s="38"/>
      <c r="D128" s="39"/>
      <c r="E128" s="48"/>
      <c r="F128" s="48"/>
      <c r="G128" s="48"/>
      <c r="H128" s="48"/>
      <c r="I128" s="48"/>
      <c r="J128" s="48"/>
      <c r="K128" s="48"/>
      <c r="L128" s="39"/>
    </row>
    <row r="129" spans="1:12" ht="35.5" customHeight="1" x14ac:dyDescent="0.35">
      <c r="A129" s="41"/>
      <c r="B129" s="42"/>
      <c r="C129" s="43"/>
      <c r="D129" s="44"/>
      <c r="E129" s="49"/>
      <c r="F129" s="49"/>
      <c r="G129" s="49"/>
      <c r="H129" s="49"/>
      <c r="I129" s="49"/>
      <c r="J129" s="49"/>
      <c r="K129" s="49"/>
      <c r="L129" s="44"/>
    </row>
    <row r="130" spans="1:12" ht="35.5" customHeight="1" x14ac:dyDescent="0.35">
      <c r="A130" s="36"/>
      <c r="B130" s="37"/>
      <c r="C130" s="38"/>
      <c r="D130" s="39"/>
      <c r="E130" s="48"/>
      <c r="F130" s="48"/>
      <c r="G130" s="48"/>
      <c r="H130" s="48"/>
      <c r="I130" s="48"/>
      <c r="J130" s="48"/>
      <c r="K130" s="48"/>
      <c r="L130" s="39"/>
    </row>
    <row r="131" spans="1:12" ht="35.5" customHeight="1" x14ac:dyDescent="0.35">
      <c r="A131" s="41"/>
      <c r="B131" s="42"/>
      <c r="C131" s="43"/>
      <c r="D131" s="44"/>
      <c r="E131" s="49"/>
      <c r="F131" s="49"/>
      <c r="G131" s="49"/>
      <c r="H131" s="49"/>
      <c r="I131" s="49"/>
      <c r="J131" s="49"/>
      <c r="K131" s="49"/>
      <c r="L131" s="44"/>
    </row>
    <row r="132" spans="1:12" ht="35.5" customHeight="1" x14ac:dyDescent="0.35">
      <c r="A132" s="36"/>
      <c r="B132" s="37"/>
      <c r="C132" s="38"/>
      <c r="D132" s="39"/>
      <c r="E132" s="48"/>
      <c r="F132" s="48"/>
      <c r="G132" s="48"/>
      <c r="H132" s="48"/>
      <c r="I132" s="48"/>
      <c r="J132" s="48"/>
      <c r="K132" s="48"/>
      <c r="L132" s="39"/>
    </row>
    <row r="133" spans="1:12" ht="35.5" customHeight="1" x14ac:dyDescent="0.35">
      <c r="A133" s="41"/>
      <c r="B133" s="42"/>
      <c r="C133" s="43"/>
      <c r="D133" s="44"/>
      <c r="E133" s="49"/>
      <c r="F133" s="49"/>
      <c r="G133" s="49"/>
      <c r="H133" s="49"/>
      <c r="I133" s="49"/>
      <c r="J133" s="49"/>
      <c r="K133" s="49"/>
      <c r="L133" s="44"/>
    </row>
    <row r="134" spans="1:12" ht="35.5" customHeight="1" x14ac:dyDescent="0.35">
      <c r="A134" s="36"/>
      <c r="B134" s="37"/>
      <c r="C134" s="38"/>
      <c r="D134" s="39"/>
      <c r="E134" s="48"/>
      <c r="F134" s="48"/>
      <c r="G134" s="48"/>
      <c r="H134" s="48"/>
      <c r="I134" s="48"/>
      <c r="J134" s="48"/>
      <c r="K134" s="48"/>
      <c r="L134" s="39"/>
    </row>
    <row r="135" spans="1:12" ht="35.5" customHeight="1" x14ac:dyDescent="0.35">
      <c r="A135" s="41"/>
      <c r="B135" s="42"/>
      <c r="C135" s="43"/>
      <c r="D135" s="44"/>
      <c r="E135" s="49"/>
      <c r="F135" s="49"/>
      <c r="G135" s="49"/>
      <c r="H135" s="49"/>
      <c r="I135" s="49"/>
      <c r="J135" s="49"/>
      <c r="K135" s="49"/>
      <c r="L135" s="44"/>
    </row>
    <row r="136" spans="1:12" ht="35.5" customHeight="1" x14ac:dyDescent="0.35">
      <c r="A136" s="36"/>
      <c r="B136" s="37"/>
      <c r="C136" s="38"/>
      <c r="D136" s="39"/>
      <c r="E136" s="48"/>
      <c r="F136" s="48"/>
      <c r="G136" s="48"/>
      <c r="H136" s="48"/>
      <c r="I136" s="48"/>
      <c r="J136" s="48"/>
      <c r="K136" s="48"/>
      <c r="L136" s="39"/>
    </row>
    <row r="137" spans="1:12" ht="35.5" customHeight="1" x14ac:dyDescent="0.35">
      <c r="A137" s="41"/>
      <c r="B137" s="42"/>
      <c r="C137" s="43"/>
      <c r="D137" s="44"/>
      <c r="E137" s="49"/>
      <c r="F137" s="49"/>
      <c r="G137" s="49"/>
      <c r="H137" s="49"/>
      <c r="I137" s="49"/>
      <c r="J137" s="49"/>
      <c r="K137" s="49"/>
      <c r="L137" s="44"/>
    </row>
    <row r="138" spans="1:12" ht="35.5" customHeight="1" x14ac:dyDescent="0.35">
      <c r="A138" s="36"/>
      <c r="B138" s="37"/>
      <c r="C138" s="38"/>
      <c r="D138" s="39"/>
      <c r="E138" s="48"/>
      <c r="F138" s="48"/>
      <c r="G138" s="48"/>
      <c r="H138" s="48"/>
      <c r="I138" s="48"/>
      <c r="J138" s="48"/>
      <c r="K138" s="48"/>
      <c r="L138" s="39"/>
    </row>
    <row r="139" spans="1:12" ht="35.5" customHeight="1" x14ac:dyDescent="0.35">
      <c r="A139" s="41"/>
      <c r="B139" s="42"/>
      <c r="C139" s="43"/>
      <c r="D139" s="44"/>
      <c r="E139" s="49"/>
      <c r="F139" s="49"/>
      <c r="G139" s="49"/>
      <c r="H139" s="49"/>
      <c r="I139" s="49"/>
      <c r="J139" s="49"/>
      <c r="K139" s="49"/>
      <c r="L139" s="44"/>
    </row>
    <row r="140" spans="1:12" ht="35.5" customHeight="1" x14ac:dyDescent="0.35">
      <c r="A140" s="36"/>
      <c r="B140" s="37"/>
      <c r="C140" s="38"/>
      <c r="D140" s="39"/>
      <c r="E140" s="48"/>
      <c r="F140" s="48"/>
      <c r="G140" s="48"/>
      <c r="H140" s="48"/>
      <c r="I140" s="48"/>
      <c r="J140" s="48"/>
      <c r="K140" s="48"/>
      <c r="L140" s="39"/>
    </row>
    <row r="141" spans="1:12" ht="35.5" customHeight="1" x14ac:dyDescent="0.35">
      <c r="A141" s="41"/>
      <c r="B141" s="42"/>
      <c r="C141" s="43"/>
      <c r="D141" s="44"/>
      <c r="E141" s="49"/>
      <c r="F141" s="49"/>
      <c r="G141" s="49"/>
      <c r="H141" s="49"/>
      <c r="I141" s="49"/>
      <c r="J141" s="49"/>
      <c r="K141" s="49"/>
      <c r="L141" s="44"/>
    </row>
    <row r="142" spans="1:12" ht="35.5" customHeight="1" x14ac:dyDescent="0.35">
      <c r="A142" s="36"/>
      <c r="B142" s="37"/>
      <c r="C142" s="38"/>
      <c r="D142" s="39"/>
      <c r="E142" s="48"/>
      <c r="F142" s="48"/>
      <c r="G142" s="48"/>
      <c r="H142" s="48"/>
      <c r="I142" s="48"/>
      <c r="J142" s="48"/>
      <c r="K142" s="48"/>
      <c r="L142" s="39"/>
    </row>
    <row r="143" spans="1:12" ht="35.5" customHeight="1" x14ac:dyDescent="0.35">
      <c r="A143" s="41"/>
      <c r="B143" s="42"/>
      <c r="C143" s="43"/>
      <c r="D143" s="44"/>
      <c r="E143" s="49"/>
      <c r="F143" s="49"/>
      <c r="G143" s="49"/>
      <c r="H143" s="49"/>
      <c r="I143" s="49"/>
      <c r="J143" s="49"/>
      <c r="K143" s="49"/>
      <c r="L143" s="44"/>
    </row>
    <row r="144" spans="1:12" ht="35.5" customHeight="1" x14ac:dyDescent="0.35">
      <c r="A144" s="36"/>
      <c r="B144" s="37"/>
      <c r="C144" s="38"/>
      <c r="D144" s="39"/>
      <c r="E144" s="48"/>
      <c r="F144" s="48"/>
      <c r="G144" s="48"/>
      <c r="H144" s="48"/>
      <c r="I144" s="48"/>
      <c r="J144" s="48"/>
      <c r="K144" s="48"/>
      <c r="L144" s="39"/>
    </row>
    <row r="145" spans="1:12" ht="35.5" customHeight="1" x14ac:dyDescent="0.35">
      <c r="A145" s="41"/>
      <c r="B145" s="42"/>
      <c r="C145" s="43"/>
      <c r="D145" s="44"/>
      <c r="E145" s="49"/>
      <c r="F145" s="49"/>
      <c r="G145" s="49"/>
      <c r="H145" s="49"/>
      <c r="I145" s="49"/>
      <c r="J145" s="49"/>
      <c r="K145" s="49"/>
      <c r="L145" s="44"/>
    </row>
    <row r="146" spans="1:12" ht="35.5" customHeight="1" x14ac:dyDescent="0.35">
      <c r="A146" s="36"/>
      <c r="B146" s="37"/>
      <c r="C146" s="38"/>
      <c r="D146" s="39"/>
      <c r="E146" s="48"/>
      <c r="F146" s="48"/>
      <c r="G146" s="48"/>
      <c r="H146" s="48"/>
      <c r="I146" s="48"/>
      <c r="J146" s="48"/>
      <c r="K146" s="48"/>
      <c r="L146" s="39"/>
    </row>
    <row r="147" spans="1:12" ht="35.5" customHeight="1" x14ac:dyDescent="0.35">
      <c r="A147" s="41"/>
      <c r="B147" s="42"/>
      <c r="C147" s="43"/>
      <c r="D147" s="44"/>
      <c r="E147" s="49"/>
      <c r="F147" s="49"/>
      <c r="G147" s="49"/>
      <c r="H147" s="49"/>
      <c r="I147" s="49"/>
      <c r="J147" s="49"/>
      <c r="K147" s="49"/>
      <c r="L147" s="44"/>
    </row>
    <row r="148" spans="1:12" ht="35.5" customHeight="1" x14ac:dyDescent="0.35">
      <c r="A148" s="36"/>
      <c r="B148" s="37"/>
      <c r="C148" s="38"/>
      <c r="D148" s="39"/>
      <c r="E148" s="48"/>
      <c r="F148" s="48"/>
      <c r="G148" s="48"/>
      <c r="H148" s="48"/>
      <c r="I148" s="48"/>
      <c r="J148" s="48"/>
      <c r="K148" s="48"/>
      <c r="L148" s="39"/>
    </row>
    <row r="149" spans="1:12" ht="35.5" customHeight="1" x14ac:dyDescent="0.35">
      <c r="A149" s="41"/>
      <c r="B149" s="42"/>
      <c r="C149" s="43"/>
      <c r="D149" s="44"/>
      <c r="E149" s="49"/>
      <c r="F149" s="49"/>
      <c r="G149" s="49"/>
      <c r="H149" s="49"/>
      <c r="I149" s="49"/>
      <c r="J149" s="49"/>
      <c r="K149" s="49"/>
      <c r="L149" s="44"/>
    </row>
    <row r="150" spans="1:12" ht="35.5" customHeight="1" x14ac:dyDescent="0.35">
      <c r="A150" s="36"/>
      <c r="B150" s="37"/>
      <c r="C150" s="38"/>
      <c r="D150" s="39"/>
      <c r="E150" s="48"/>
      <c r="F150" s="48"/>
      <c r="G150" s="48"/>
      <c r="H150" s="48"/>
      <c r="I150" s="48"/>
      <c r="J150" s="48"/>
      <c r="K150" s="48"/>
      <c r="L150" s="39"/>
    </row>
    <row r="151" spans="1:12" ht="35.5" customHeight="1" x14ac:dyDescent="0.35">
      <c r="A151" s="41"/>
      <c r="B151" s="42"/>
      <c r="C151" s="43"/>
      <c r="D151" s="44"/>
      <c r="E151" s="49"/>
      <c r="F151" s="49"/>
      <c r="G151" s="49"/>
      <c r="H151" s="49"/>
      <c r="I151" s="49"/>
      <c r="J151" s="49"/>
      <c r="K151" s="49"/>
      <c r="L151" s="44"/>
    </row>
    <row r="152" spans="1:12" ht="35.5" customHeight="1" x14ac:dyDescent="0.35">
      <c r="A152" s="36"/>
      <c r="B152" s="37"/>
      <c r="C152" s="38"/>
      <c r="D152" s="39"/>
      <c r="E152" s="48"/>
      <c r="F152" s="48"/>
      <c r="G152" s="48"/>
      <c r="H152" s="48"/>
      <c r="I152" s="48"/>
      <c r="J152" s="48"/>
      <c r="K152" s="48"/>
      <c r="L152" s="39"/>
    </row>
    <row r="153" spans="1:12" ht="35.5" customHeight="1" x14ac:dyDescent="0.35">
      <c r="A153" s="41"/>
      <c r="B153" s="42"/>
      <c r="C153" s="43"/>
      <c r="D153" s="44"/>
      <c r="E153" s="49"/>
      <c r="F153" s="49"/>
      <c r="G153" s="49"/>
      <c r="H153" s="49"/>
      <c r="I153" s="49"/>
      <c r="J153" s="49"/>
      <c r="K153" s="49"/>
      <c r="L153" s="44"/>
    </row>
    <row r="154" spans="1:12" ht="35.5" customHeight="1" x14ac:dyDescent="0.35">
      <c r="A154" s="36"/>
      <c r="B154" s="37"/>
      <c r="C154" s="38"/>
      <c r="D154" s="39"/>
      <c r="E154" s="48"/>
      <c r="F154" s="48"/>
      <c r="G154" s="48"/>
      <c r="H154" s="48"/>
      <c r="I154" s="48"/>
      <c r="J154" s="48"/>
      <c r="K154" s="48"/>
      <c r="L154" s="39"/>
    </row>
    <row r="155" spans="1:12" ht="35.5" customHeight="1" x14ac:dyDescent="0.35">
      <c r="A155" s="41"/>
      <c r="B155" s="42"/>
      <c r="C155" s="43"/>
      <c r="D155" s="44"/>
      <c r="E155" s="49"/>
      <c r="F155" s="49"/>
      <c r="G155" s="49"/>
      <c r="H155" s="49"/>
      <c r="I155" s="49"/>
      <c r="J155" s="49"/>
      <c r="K155" s="49"/>
      <c r="L155" s="44"/>
    </row>
    <row r="156" spans="1:12" ht="35.5" customHeight="1" x14ac:dyDescent="0.35">
      <c r="A156" s="36"/>
      <c r="B156" s="37"/>
      <c r="C156" s="38"/>
      <c r="D156" s="39"/>
      <c r="E156" s="48"/>
      <c r="F156" s="48"/>
      <c r="G156" s="48"/>
      <c r="H156" s="48"/>
      <c r="I156" s="48"/>
      <c r="J156" s="48"/>
      <c r="K156" s="48"/>
      <c r="L156" s="39"/>
    </row>
    <row r="157" spans="1:12" ht="35.5" customHeight="1" x14ac:dyDescent="0.35">
      <c r="A157" s="41"/>
      <c r="B157" s="42"/>
      <c r="C157" s="43"/>
      <c r="D157" s="44"/>
      <c r="E157" s="49"/>
      <c r="F157" s="49"/>
      <c r="G157" s="49"/>
      <c r="H157" s="49"/>
      <c r="I157" s="49"/>
      <c r="J157" s="49"/>
      <c r="K157" s="49"/>
      <c r="L157" s="44"/>
    </row>
    <row r="158" spans="1:12" ht="35.5" customHeight="1" x14ac:dyDescent="0.35">
      <c r="A158" s="36"/>
      <c r="B158" s="37"/>
      <c r="C158" s="38"/>
      <c r="D158" s="39"/>
      <c r="E158" s="48"/>
      <c r="F158" s="48"/>
      <c r="G158" s="48"/>
      <c r="H158" s="48"/>
      <c r="I158" s="48"/>
      <c r="J158" s="48"/>
      <c r="K158" s="48"/>
      <c r="L158" s="39"/>
    </row>
    <row r="159" spans="1:12" ht="35.5" customHeight="1" x14ac:dyDescent="0.35">
      <c r="A159" s="41"/>
      <c r="B159" s="42"/>
      <c r="C159" s="43"/>
      <c r="D159" s="44"/>
      <c r="E159" s="49"/>
      <c r="F159" s="49"/>
      <c r="G159" s="49"/>
      <c r="H159" s="49"/>
      <c r="I159" s="49"/>
      <c r="J159" s="49"/>
      <c r="K159" s="49"/>
      <c r="L159" s="44"/>
    </row>
    <row r="160" spans="1:12" ht="35.5" customHeight="1" x14ac:dyDescent="0.35">
      <c r="A160" s="36"/>
      <c r="B160" s="37"/>
      <c r="C160" s="38"/>
      <c r="D160" s="39"/>
      <c r="E160" s="48"/>
      <c r="F160" s="48"/>
      <c r="G160" s="48"/>
      <c r="H160" s="48"/>
      <c r="I160" s="48"/>
      <c r="J160" s="48"/>
      <c r="K160" s="48"/>
      <c r="L160" s="39"/>
    </row>
    <row r="161" spans="1:12" ht="35.5" customHeight="1" x14ac:dyDescent="0.35">
      <c r="A161" s="41"/>
      <c r="B161" s="42"/>
      <c r="C161" s="43"/>
      <c r="D161" s="44"/>
      <c r="E161" s="49"/>
      <c r="F161" s="49"/>
      <c r="G161" s="49"/>
      <c r="H161" s="49"/>
      <c r="I161" s="49"/>
      <c r="J161" s="49"/>
      <c r="K161" s="49"/>
      <c r="L161" s="44"/>
    </row>
    <row r="162" spans="1:12" ht="35.5" customHeight="1" x14ac:dyDescent="0.35">
      <c r="A162" s="36"/>
      <c r="B162" s="37"/>
      <c r="C162" s="38"/>
      <c r="D162" s="39"/>
      <c r="E162" s="48"/>
      <c r="F162" s="48"/>
      <c r="G162" s="48"/>
      <c r="H162" s="48"/>
      <c r="I162" s="48"/>
      <c r="J162" s="48"/>
      <c r="K162" s="48"/>
      <c r="L162" s="39"/>
    </row>
    <row r="163" spans="1:12" ht="35.5" customHeight="1" x14ac:dyDescent="0.35">
      <c r="A163" s="41"/>
      <c r="B163" s="42"/>
      <c r="C163" s="43"/>
      <c r="D163" s="44"/>
      <c r="E163" s="49"/>
      <c r="F163" s="49"/>
      <c r="G163" s="49"/>
      <c r="H163" s="49"/>
      <c r="I163" s="49"/>
      <c r="J163" s="49"/>
      <c r="K163" s="49"/>
      <c r="L163" s="44"/>
    </row>
    <row r="164" spans="1:12" ht="35.5" customHeight="1" x14ac:dyDescent="0.35">
      <c r="A164" s="36"/>
      <c r="B164" s="37"/>
      <c r="C164" s="38"/>
      <c r="D164" s="39"/>
      <c r="E164" s="48"/>
      <c r="F164" s="48"/>
      <c r="G164" s="48"/>
      <c r="H164" s="48"/>
      <c r="I164" s="48"/>
      <c r="J164" s="48"/>
      <c r="K164" s="48"/>
      <c r="L164" s="39"/>
    </row>
    <row r="165" spans="1:12" ht="35.5" customHeight="1" x14ac:dyDescent="0.35">
      <c r="A165" s="41"/>
      <c r="B165" s="42"/>
      <c r="C165" s="43"/>
      <c r="D165" s="44"/>
      <c r="E165" s="49"/>
      <c r="F165" s="49"/>
      <c r="G165" s="49"/>
      <c r="H165" s="49"/>
      <c r="I165" s="49"/>
      <c r="J165" s="49"/>
      <c r="K165" s="49"/>
      <c r="L165" s="44"/>
    </row>
    <row r="166" spans="1:12" ht="35.5" customHeight="1" x14ac:dyDescent="0.35">
      <c r="A166" s="36"/>
      <c r="B166" s="37"/>
      <c r="C166" s="38"/>
      <c r="D166" s="39"/>
      <c r="E166" s="48"/>
      <c r="F166" s="48"/>
      <c r="G166" s="48"/>
      <c r="H166" s="48"/>
      <c r="I166" s="48"/>
      <c r="J166" s="48"/>
      <c r="K166" s="48"/>
      <c r="L166" s="39"/>
    </row>
    <row r="167" spans="1:12" ht="35.5" customHeight="1" x14ac:dyDescent="0.35">
      <c r="A167" s="41"/>
      <c r="B167" s="42"/>
      <c r="C167" s="43"/>
      <c r="D167" s="44"/>
      <c r="E167" s="49"/>
      <c r="F167" s="49"/>
      <c r="G167" s="49"/>
      <c r="H167" s="49"/>
      <c r="I167" s="49"/>
      <c r="J167" s="49"/>
      <c r="K167" s="49"/>
      <c r="L167" s="44"/>
    </row>
    <row r="168" spans="1:12" ht="35.5" customHeight="1" x14ac:dyDescent="0.35">
      <c r="A168" s="36"/>
      <c r="B168" s="37"/>
      <c r="C168" s="38"/>
      <c r="D168" s="39"/>
      <c r="E168" s="48"/>
      <c r="F168" s="48"/>
      <c r="G168" s="48"/>
      <c r="H168" s="48"/>
      <c r="I168" s="48"/>
      <c r="J168" s="48"/>
      <c r="K168" s="48"/>
      <c r="L168" s="39"/>
    </row>
    <row r="169" spans="1:12" ht="35.5" customHeight="1" x14ac:dyDescent="0.35">
      <c r="A169" s="41"/>
      <c r="B169" s="42"/>
      <c r="C169" s="43"/>
      <c r="D169" s="44"/>
      <c r="E169" s="49"/>
      <c r="F169" s="49"/>
      <c r="G169" s="49"/>
      <c r="H169" s="49"/>
      <c r="I169" s="49"/>
      <c r="J169" s="49"/>
      <c r="K169" s="49"/>
      <c r="L169" s="44"/>
    </row>
    <row r="170" spans="1:12" ht="35.5" customHeight="1" x14ac:dyDescent="0.35">
      <c r="A170" s="36"/>
      <c r="B170" s="37"/>
      <c r="C170" s="38"/>
      <c r="D170" s="39"/>
      <c r="E170" s="48"/>
      <c r="F170" s="48"/>
      <c r="G170" s="48"/>
      <c r="H170" s="48"/>
      <c r="I170" s="48"/>
      <c r="J170" s="48"/>
      <c r="K170" s="48"/>
      <c r="L170" s="39"/>
    </row>
    <row r="171" spans="1:12" ht="35.5" customHeight="1" x14ac:dyDescent="0.35">
      <c r="A171" s="41"/>
      <c r="B171" s="42"/>
      <c r="C171" s="43"/>
      <c r="D171" s="44"/>
      <c r="E171" s="49"/>
      <c r="F171" s="49"/>
      <c r="G171" s="49"/>
      <c r="H171" s="49"/>
      <c r="I171" s="49"/>
      <c r="J171" s="49"/>
      <c r="K171" s="49"/>
      <c r="L171" s="44"/>
    </row>
    <row r="172" spans="1:12" ht="35.5" customHeight="1" x14ac:dyDescent="0.35">
      <c r="A172" s="36"/>
      <c r="B172" s="37"/>
      <c r="C172" s="38"/>
      <c r="D172" s="39"/>
      <c r="E172" s="48"/>
      <c r="F172" s="48"/>
      <c r="G172" s="48"/>
      <c r="H172" s="48"/>
      <c r="I172" s="48"/>
      <c r="J172" s="48"/>
      <c r="K172" s="48"/>
      <c r="L172" s="39"/>
    </row>
    <row r="173" spans="1:12" ht="35.5" customHeight="1" x14ac:dyDescent="0.35">
      <c r="A173" s="41"/>
      <c r="B173" s="42"/>
      <c r="C173" s="43"/>
      <c r="D173" s="44"/>
      <c r="E173" s="49"/>
      <c r="F173" s="49"/>
      <c r="G173" s="49"/>
      <c r="H173" s="49"/>
      <c r="I173" s="49"/>
      <c r="J173" s="49"/>
      <c r="K173" s="49"/>
      <c r="L173" s="44"/>
    </row>
    <row r="174" spans="1:12" ht="35.5" customHeight="1" x14ac:dyDescent="0.35">
      <c r="A174" s="36"/>
      <c r="B174" s="37"/>
      <c r="C174" s="38"/>
      <c r="D174" s="39"/>
      <c r="E174" s="48"/>
      <c r="F174" s="48"/>
      <c r="G174" s="48"/>
      <c r="H174" s="48"/>
      <c r="I174" s="48"/>
      <c r="J174" s="48"/>
      <c r="K174" s="48"/>
      <c r="L174" s="39"/>
    </row>
    <row r="175" spans="1:12" ht="35.5" customHeight="1" x14ac:dyDescent="0.35">
      <c r="A175" s="41"/>
      <c r="B175" s="42"/>
      <c r="C175" s="43"/>
      <c r="D175" s="44"/>
      <c r="E175" s="49"/>
      <c r="F175" s="49"/>
      <c r="G175" s="49"/>
      <c r="H175" s="49"/>
      <c r="I175" s="49"/>
      <c r="J175" s="49"/>
      <c r="K175" s="49"/>
      <c r="L175" s="44"/>
    </row>
    <row r="176" spans="1:12" ht="35.5" customHeight="1" x14ac:dyDescent="0.35">
      <c r="A176" s="36"/>
      <c r="B176" s="37"/>
      <c r="C176" s="38"/>
      <c r="D176" s="39"/>
      <c r="E176" s="48"/>
      <c r="F176" s="48"/>
      <c r="G176" s="48"/>
      <c r="H176" s="48"/>
      <c r="I176" s="48"/>
      <c r="J176" s="48"/>
      <c r="K176" s="48"/>
      <c r="L176" s="39"/>
    </row>
    <row r="177" spans="1:12" ht="35.5" customHeight="1" x14ac:dyDescent="0.35">
      <c r="A177" s="41"/>
      <c r="B177" s="42"/>
      <c r="C177" s="43"/>
      <c r="D177" s="44"/>
      <c r="E177" s="49"/>
      <c r="F177" s="49"/>
      <c r="G177" s="49"/>
      <c r="H177" s="49"/>
      <c r="I177" s="49"/>
      <c r="J177" s="49"/>
      <c r="K177" s="49"/>
      <c r="L177" s="44"/>
    </row>
    <row r="178" spans="1:12" ht="35.5" customHeight="1" x14ac:dyDescent="0.35">
      <c r="A178" s="36"/>
      <c r="B178" s="37"/>
      <c r="C178" s="38"/>
      <c r="D178" s="39"/>
      <c r="E178" s="48"/>
      <c r="F178" s="48"/>
      <c r="G178" s="48"/>
      <c r="H178" s="48"/>
      <c r="I178" s="48"/>
      <c r="J178" s="48"/>
      <c r="K178" s="48"/>
      <c r="L178" s="39"/>
    </row>
    <row r="179" spans="1:12" ht="35.5" customHeight="1" x14ac:dyDescent="0.35">
      <c r="A179" s="41"/>
      <c r="B179" s="42"/>
      <c r="C179" s="43"/>
      <c r="D179" s="44"/>
      <c r="E179" s="49"/>
      <c r="F179" s="49"/>
      <c r="G179" s="49"/>
      <c r="H179" s="49"/>
      <c r="I179" s="49"/>
      <c r="J179" s="49"/>
      <c r="K179" s="49"/>
      <c r="L179" s="44"/>
    </row>
    <row r="180" spans="1:12" ht="35.5" customHeight="1" x14ac:dyDescent="0.35">
      <c r="A180" s="36"/>
      <c r="B180" s="37"/>
      <c r="C180" s="38"/>
      <c r="D180" s="39"/>
      <c r="E180" s="48"/>
      <c r="F180" s="48"/>
      <c r="G180" s="48"/>
      <c r="H180" s="48"/>
      <c r="I180" s="48"/>
      <c r="J180" s="48"/>
      <c r="K180" s="48"/>
      <c r="L180" s="39"/>
    </row>
    <row r="181" spans="1:12" ht="35.5" customHeight="1" x14ac:dyDescent="0.35">
      <c r="A181" s="41"/>
      <c r="B181" s="42"/>
      <c r="C181" s="43"/>
      <c r="D181" s="44"/>
      <c r="E181" s="49"/>
      <c r="F181" s="49"/>
      <c r="G181" s="49"/>
      <c r="H181" s="49"/>
      <c r="I181" s="49"/>
      <c r="J181" s="49"/>
      <c r="K181" s="49"/>
      <c r="L181" s="44"/>
    </row>
    <row r="182" spans="1:12" ht="35.5" customHeight="1" x14ac:dyDescent="0.35">
      <c r="A182" s="36"/>
      <c r="B182" s="37"/>
      <c r="C182" s="38"/>
      <c r="D182" s="39"/>
      <c r="E182" s="48"/>
      <c r="F182" s="48"/>
      <c r="G182" s="48"/>
      <c r="H182" s="48"/>
      <c r="I182" s="48"/>
      <c r="J182" s="48"/>
      <c r="K182" s="48"/>
      <c r="L182" s="39"/>
    </row>
    <row r="183" spans="1:12" ht="35.5" customHeight="1" x14ac:dyDescent="0.35">
      <c r="A183" s="41"/>
      <c r="B183" s="42"/>
      <c r="C183" s="43"/>
      <c r="D183" s="44"/>
      <c r="E183" s="49"/>
      <c r="F183" s="49"/>
      <c r="G183" s="49"/>
      <c r="H183" s="49"/>
      <c r="I183" s="49"/>
      <c r="J183" s="49"/>
      <c r="K183" s="49"/>
      <c r="L183" s="44"/>
    </row>
    <row r="184" spans="1:12" ht="35.5" customHeight="1" x14ac:dyDescent="0.35">
      <c r="A184" s="36"/>
      <c r="B184" s="37"/>
      <c r="C184" s="38"/>
      <c r="D184" s="39"/>
      <c r="E184" s="48"/>
      <c r="F184" s="48"/>
      <c r="G184" s="48"/>
      <c r="H184" s="48"/>
      <c r="I184" s="48"/>
      <c r="J184" s="48"/>
      <c r="K184" s="48"/>
      <c r="L184" s="39"/>
    </row>
    <row r="185" spans="1:12" ht="35.5" customHeight="1" x14ac:dyDescent="0.35">
      <c r="A185" s="41"/>
      <c r="B185" s="42"/>
      <c r="C185" s="43"/>
      <c r="D185" s="44"/>
      <c r="E185" s="49"/>
      <c r="F185" s="49"/>
      <c r="G185" s="49"/>
      <c r="H185" s="49"/>
      <c r="I185" s="49"/>
      <c r="J185" s="49"/>
      <c r="K185" s="49"/>
      <c r="L185" s="44"/>
    </row>
    <row r="186" spans="1:12" ht="35.5" customHeight="1" x14ac:dyDescent="0.35">
      <c r="A186" s="36"/>
      <c r="B186" s="37"/>
      <c r="C186" s="38"/>
      <c r="D186" s="39"/>
      <c r="E186" s="48"/>
      <c r="F186" s="48"/>
      <c r="G186" s="48"/>
      <c r="H186" s="48"/>
      <c r="I186" s="48"/>
      <c r="J186" s="48"/>
      <c r="K186" s="48"/>
      <c r="L186" s="39"/>
    </row>
    <row r="187" spans="1:12" ht="35.5" customHeight="1" x14ac:dyDescent="0.35">
      <c r="A187" s="41"/>
      <c r="B187" s="42"/>
      <c r="C187" s="43"/>
      <c r="D187" s="44"/>
      <c r="E187" s="49"/>
      <c r="F187" s="49"/>
      <c r="G187" s="49"/>
      <c r="H187" s="49"/>
      <c r="I187" s="49"/>
      <c r="J187" s="49"/>
      <c r="K187" s="49"/>
      <c r="L187" s="44"/>
    </row>
    <row r="188" spans="1:12" ht="35.5" customHeight="1" x14ac:dyDescent="0.35">
      <c r="A188" s="36"/>
      <c r="B188" s="37"/>
      <c r="C188" s="38"/>
      <c r="D188" s="39"/>
      <c r="E188" s="48"/>
      <c r="F188" s="48"/>
      <c r="G188" s="48"/>
      <c r="H188" s="48"/>
      <c r="I188" s="48"/>
      <c r="J188" s="48"/>
      <c r="K188" s="48"/>
      <c r="L188" s="39"/>
    </row>
    <row r="189" spans="1:12" ht="35.5" customHeight="1" x14ac:dyDescent="0.35">
      <c r="A189" s="41"/>
      <c r="B189" s="42"/>
      <c r="C189" s="43"/>
      <c r="D189" s="44"/>
      <c r="E189" s="49"/>
      <c r="F189" s="49"/>
      <c r="G189" s="49"/>
      <c r="H189" s="49"/>
      <c r="I189" s="49"/>
      <c r="J189" s="49"/>
      <c r="K189" s="49"/>
      <c r="L189" s="44"/>
    </row>
    <row r="190" spans="1:12" ht="35.5" customHeight="1" x14ac:dyDescent="0.35">
      <c r="A190" s="36"/>
      <c r="B190" s="37"/>
      <c r="C190" s="38"/>
      <c r="D190" s="39"/>
      <c r="E190" s="48"/>
      <c r="F190" s="48"/>
      <c r="G190" s="48"/>
      <c r="H190" s="48"/>
      <c r="I190" s="48"/>
      <c r="J190" s="48"/>
      <c r="K190" s="48"/>
      <c r="L190" s="39"/>
    </row>
    <row r="191" spans="1:12" ht="35.5" customHeight="1" x14ac:dyDescent="0.35">
      <c r="A191" s="41"/>
      <c r="B191" s="42"/>
      <c r="C191" s="43"/>
      <c r="D191" s="44"/>
      <c r="E191" s="49"/>
      <c r="F191" s="49"/>
      <c r="G191" s="49"/>
      <c r="H191" s="49"/>
      <c r="I191" s="49"/>
      <c r="J191" s="49"/>
      <c r="K191" s="49"/>
      <c r="L191" s="44"/>
    </row>
    <row r="192" spans="1:12" ht="35.5" customHeight="1" x14ac:dyDescent="0.35">
      <c r="A192" s="36"/>
      <c r="B192" s="37"/>
      <c r="C192" s="38"/>
      <c r="D192" s="39"/>
      <c r="E192" s="48"/>
      <c r="F192" s="48"/>
      <c r="G192" s="48"/>
      <c r="H192" s="48"/>
      <c r="I192" s="48"/>
      <c r="J192" s="48"/>
      <c r="K192" s="48"/>
      <c r="L192" s="39"/>
    </row>
    <row r="193" spans="1:12" ht="35.5" customHeight="1" x14ac:dyDescent="0.35">
      <c r="A193" s="41"/>
      <c r="B193" s="42"/>
      <c r="C193" s="43"/>
      <c r="D193" s="44"/>
      <c r="E193" s="49"/>
      <c r="F193" s="49"/>
      <c r="G193" s="49"/>
      <c r="H193" s="49"/>
      <c r="I193" s="49"/>
      <c r="J193" s="49"/>
      <c r="K193" s="49"/>
      <c r="L193" s="44"/>
    </row>
    <row r="194" spans="1:12" ht="35.5" customHeight="1" x14ac:dyDescent="0.35">
      <c r="A194" s="36"/>
      <c r="B194" s="37"/>
      <c r="C194" s="38"/>
      <c r="D194" s="39"/>
      <c r="E194" s="48"/>
      <c r="F194" s="48"/>
      <c r="G194" s="48"/>
      <c r="H194" s="48"/>
      <c r="I194" s="48"/>
      <c r="J194" s="48"/>
      <c r="K194" s="48"/>
      <c r="L194" s="39"/>
    </row>
    <row r="195" spans="1:12" ht="35.5" customHeight="1" x14ac:dyDescent="0.35">
      <c r="A195" s="41"/>
      <c r="B195" s="42"/>
      <c r="C195" s="43"/>
      <c r="D195" s="44"/>
      <c r="E195" s="49"/>
      <c r="F195" s="49"/>
      <c r="G195" s="49"/>
      <c r="H195" s="49"/>
      <c r="I195" s="49"/>
      <c r="J195" s="49"/>
      <c r="K195" s="49"/>
      <c r="L195" s="44"/>
    </row>
    <row r="196" spans="1:12" ht="35.5" customHeight="1" x14ac:dyDescent="0.35">
      <c r="A196" s="36"/>
      <c r="B196" s="37"/>
      <c r="C196" s="38"/>
      <c r="D196" s="39"/>
      <c r="E196" s="48"/>
      <c r="F196" s="48"/>
      <c r="G196" s="48"/>
      <c r="H196" s="48"/>
      <c r="I196" s="48"/>
      <c r="J196" s="48"/>
      <c r="K196" s="48"/>
      <c r="L196" s="39"/>
    </row>
    <row r="197" spans="1:12" ht="35.5" customHeight="1" x14ac:dyDescent="0.35">
      <c r="A197" s="41"/>
      <c r="B197" s="42"/>
      <c r="C197" s="43"/>
      <c r="D197" s="44"/>
      <c r="E197" s="49"/>
      <c r="F197" s="49"/>
      <c r="G197" s="49"/>
      <c r="H197" s="49"/>
      <c r="I197" s="49"/>
      <c r="J197" s="49"/>
      <c r="K197" s="49"/>
      <c r="L197" s="44"/>
    </row>
    <row r="198" spans="1:12" ht="35.5" customHeight="1" x14ac:dyDescent="0.35">
      <c r="A198" s="36"/>
      <c r="B198" s="37"/>
      <c r="C198" s="38"/>
      <c r="D198" s="39"/>
      <c r="E198" s="48"/>
      <c r="F198" s="48"/>
      <c r="G198" s="48"/>
      <c r="H198" s="48"/>
      <c r="I198" s="48"/>
      <c r="J198" s="48"/>
      <c r="K198" s="48"/>
      <c r="L198" s="39"/>
    </row>
    <row r="199" spans="1:12" ht="35.5" customHeight="1" x14ac:dyDescent="0.35">
      <c r="A199" s="41"/>
      <c r="B199" s="42"/>
      <c r="C199" s="43"/>
      <c r="D199" s="44"/>
      <c r="E199" s="49"/>
      <c r="F199" s="49"/>
      <c r="G199" s="49"/>
      <c r="H199" s="49"/>
      <c r="I199" s="49"/>
      <c r="J199" s="49"/>
      <c r="K199" s="49"/>
      <c r="L199" s="44"/>
    </row>
    <row r="200" spans="1:12" ht="35.5" customHeight="1" x14ac:dyDescent="0.35">
      <c r="A200" s="36"/>
      <c r="B200" s="37"/>
      <c r="C200" s="38"/>
      <c r="D200" s="39"/>
      <c r="E200" s="48"/>
      <c r="F200" s="48"/>
      <c r="G200" s="48"/>
      <c r="H200" s="48"/>
      <c r="I200" s="48"/>
      <c r="J200" s="48"/>
      <c r="K200" s="48"/>
      <c r="L200" s="39"/>
    </row>
    <row r="201" spans="1:12" ht="35.5" customHeight="1" x14ac:dyDescent="0.35">
      <c r="A201" s="41"/>
      <c r="B201" s="42"/>
      <c r="C201" s="43"/>
      <c r="D201" s="44"/>
      <c r="E201" s="49"/>
      <c r="F201" s="49"/>
      <c r="G201" s="49"/>
      <c r="H201" s="49"/>
      <c r="I201" s="49"/>
      <c r="J201" s="49"/>
      <c r="K201" s="49"/>
      <c r="L201" s="44"/>
    </row>
    <row r="202" spans="1:12" ht="35.5" customHeight="1" x14ac:dyDescent="0.35">
      <c r="A202" s="36"/>
      <c r="B202" s="37"/>
      <c r="C202" s="38"/>
      <c r="D202" s="39"/>
      <c r="E202" s="48"/>
      <c r="F202" s="48"/>
      <c r="G202" s="48"/>
      <c r="H202" s="48"/>
      <c r="I202" s="48"/>
      <c r="J202" s="48"/>
      <c r="K202" s="48"/>
      <c r="L202" s="39"/>
    </row>
    <row r="203" spans="1:12" ht="35.5" customHeight="1" x14ac:dyDescent="0.35">
      <c r="A203" s="41"/>
      <c r="B203" s="42"/>
      <c r="C203" s="43"/>
      <c r="D203" s="44"/>
      <c r="E203" s="49"/>
      <c r="F203" s="49"/>
      <c r="G203" s="49"/>
      <c r="H203" s="49"/>
      <c r="I203" s="49"/>
      <c r="J203" s="49"/>
      <c r="K203" s="49"/>
      <c r="L203" s="44"/>
    </row>
    <row r="204" spans="1:12" ht="35.5" customHeight="1" x14ac:dyDescent="0.35">
      <c r="A204" s="36"/>
      <c r="B204" s="37"/>
      <c r="C204" s="38"/>
      <c r="D204" s="39"/>
      <c r="E204" s="48"/>
      <c r="F204" s="48"/>
      <c r="G204" s="48"/>
      <c r="H204" s="48"/>
      <c r="I204" s="48"/>
      <c r="J204" s="48"/>
      <c r="K204" s="48"/>
      <c r="L204" s="39"/>
    </row>
    <row r="205" spans="1:12" ht="35.5" customHeight="1" x14ac:dyDescent="0.35">
      <c r="A205" s="41"/>
      <c r="B205" s="42"/>
      <c r="C205" s="43"/>
      <c r="D205" s="44"/>
      <c r="E205" s="49"/>
      <c r="F205" s="49"/>
      <c r="G205" s="49"/>
      <c r="H205" s="49"/>
      <c r="I205" s="49"/>
      <c r="J205" s="49"/>
      <c r="K205" s="49"/>
      <c r="L205" s="44"/>
    </row>
    <row r="206" spans="1:12" ht="35.5" customHeight="1" x14ac:dyDescent="0.35">
      <c r="A206" s="36"/>
      <c r="B206" s="37"/>
      <c r="C206" s="38"/>
      <c r="D206" s="39"/>
      <c r="E206" s="48"/>
      <c r="F206" s="48"/>
      <c r="G206" s="48"/>
      <c r="H206" s="48"/>
      <c r="I206" s="48"/>
      <c r="J206" s="48"/>
      <c r="K206" s="48"/>
      <c r="L206" s="39"/>
    </row>
    <row r="207" spans="1:12" ht="35.5" customHeight="1" x14ac:dyDescent="0.35">
      <c r="A207" s="41"/>
      <c r="B207" s="42"/>
      <c r="C207" s="43"/>
      <c r="D207" s="44"/>
      <c r="E207" s="49"/>
      <c r="F207" s="49"/>
      <c r="G207" s="49"/>
      <c r="H207" s="49"/>
      <c r="I207" s="49"/>
      <c r="J207" s="49"/>
      <c r="K207" s="49"/>
      <c r="L207" s="44"/>
    </row>
    <row r="208" spans="1:12" ht="35.5" customHeight="1" x14ac:dyDescent="0.35">
      <c r="A208" s="36"/>
      <c r="B208" s="37"/>
      <c r="C208" s="38"/>
      <c r="D208" s="39"/>
      <c r="E208" s="48"/>
      <c r="F208" s="48"/>
      <c r="G208" s="48"/>
      <c r="H208" s="48"/>
      <c r="I208" s="48"/>
      <c r="J208" s="48"/>
      <c r="K208" s="48"/>
      <c r="L208" s="39"/>
    </row>
    <row r="209" spans="1:12" ht="35.5" customHeight="1" x14ac:dyDescent="0.35">
      <c r="A209" s="41"/>
      <c r="B209" s="42"/>
      <c r="C209" s="43"/>
      <c r="D209" s="44"/>
      <c r="E209" s="49"/>
      <c r="F209" s="49"/>
      <c r="G209" s="49"/>
      <c r="H209" s="49"/>
      <c r="I209" s="49"/>
      <c r="J209" s="49"/>
      <c r="K209" s="49"/>
      <c r="L209" s="44"/>
    </row>
    <row r="210" spans="1:12" ht="35.5" customHeight="1" x14ac:dyDescent="0.35">
      <c r="A210" s="36"/>
      <c r="B210" s="37"/>
      <c r="C210" s="38"/>
      <c r="D210" s="39"/>
      <c r="E210" s="48"/>
      <c r="F210" s="48"/>
      <c r="G210" s="48"/>
      <c r="H210" s="48"/>
      <c r="I210" s="48"/>
      <c r="J210" s="48"/>
      <c r="K210" s="48"/>
      <c r="L210" s="39"/>
    </row>
    <row r="211" spans="1:12" ht="35.5" customHeight="1" x14ac:dyDescent="0.35">
      <c r="A211" s="41"/>
      <c r="B211" s="42"/>
      <c r="C211" s="43"/>
      <c r="D211" s="44"/>
      <c r="E211" s="49"/>
      <c r="F211" s="49"/>
      <c r="G211" s="49"/>
      <c r="H211" s="49"/>
      <c r="I211" s="49"/>
      <c r="J211" s="49"/>
      <c r="K211" s="49"/>
      <c r="L211" s="44"/>
    </row>
    <row r="212" spans="1:12" ht="35.5" customHeight="1" x14ac:dyDescent="0.35">
      <c r="A212" s="36"/>
      <c r="B212" s="37"/>
      <c r="C212" s="38"/>
      <c r="D212" s="39"/>
      <c r="E212" s="48"/>
      <c r="F212" s="48"/>
      <c r="G212" s="48"/>
      <c r="H212" s="48"/>
      <c r="I212" s="48"/>
      <c r="J212" s="48"/>
      <c r="K212" s="48"/>
      <c r="L212" s="39"/>
    </row>
    <row r="213" spans="1:12" ht="35.5" customHeight="1" x14ac:dyDescent="0.35">
      <c r="A213" s="41"/>
      <c r="B213" s="42"/>
      <c r="C213" s="43"/>
      <c r="D213" s="44"/>
      <c r="E213" s="49"/>
      <c r="F213" s="49"/>
      <c r="G213" s="49"/>
      <c r="H213" s="49"/>
      <c r="I213" s="49"/>
      <c r="J213" s="49"/>
      <c r="K213" s="49"/>
      <c r="L213" s="44"/>
    </row>
    <row r="214" spans="1:12" ht="35.5" customHeight="1" x14ac:dyDescent="0.35">
      <c r="A214" s="36"/>
      <c r="B214" s="37"/>
      <c r="C214" s="38"/>
      <c r="D214" s="39"/>
      <c r="E214" s="48"/>
      <c r="F214" s="48"/>
      <c r="G214" s="48"/>
      <c r="H214" s="48"/>
      <c r="I214" s="48"/>
      <c r="J214" s="48"/>
      <c r="K214" s="48"/>
      <c r="L214" s="39"/>
    </row>
    <row r="215" spans="1:12" ht="35.5" customHeight="1" x14ac:dyDescent="0.35">
      <c r="A215" s="41"/>
      <c r="B215" s="42"/>
      <c r="C215" s="43"/>
      <c r="D215" s="44"/>
      <c r="E215" s="49"/>
      <c r="F215" s="49"/>
      <c r="G215" s="49"/>
      <c r="H215" s="49"/>
      <c r="I215" s="49"/>
      <c r="J215" s="49"/>
      <c r="K215" s="49"/>
      <c r="L215" s="44"/>
    </row>
    <row r="216" spans="1:12" ht="35.5" customHeight="1" x14ac:dyDescent="0.35">
      <c r="A216" s="36"/>
      <c r="B216" s="37"/>
      <c r="C216" s="38"/>
      <c r="D216" s="39"/>
      <c r="E216" s="48"/>
      <c r="F216" s="48"/>
      <c r="G216" s="48"/>
      <c r="H216" s="48"/>
      <c r="I216" s="48"/>
      <c r="J216" s="48"/>
      <c r="K216" s="48"/>
      <c r="L216" s="39"/>
    </row>
    <row r="217" spans="1:12" ht="35.5" customHeight="1" x14ac:dyDescent="0.35">
      <c r="A217" s="41"/>
      <c r="B217" s="42"/>
      <c r="C217" s="43"/>
      <c r="D217" s="44"/>
      <c r="E217" s="49"/>
      <c r="F217" s="49"/>
      <c r="G217" s="49"/>
      <c r="H217" s="49"/>
      <c r="I217" s="49"/>
      <c r="J217" s="49"/>
      <c r="K217" s="49"/>
      <c r="L217" s="44"/>
    </row>
    <row r="218" spans="1:12" ht="35.5" customHeight="1" x14ac:dyDescent="0.35">
      <c r="A218" s="36"/>
      <c r="B218" s="37"/>
      <c r="C218" s="38"/>
      <c r="D218" s="39"/>
      <c r="E218" s="48"/>
      <c r="F218" s="48"/>
      <c r="G218" s="48"/>
      <c r="H218" s="48"/>
      <c r="I218" s="48"/>
      <c r="J218" s="48"/>
      <c r="K218" s="48"/>
      <c r="L218" s="39"/>
    </row>
    <row r="219" spans="1:12" ht="35.5" customHeight="1" x14ac:dyDescent="0.35">
      <c r="A219" s="41"/>
      <c r="B219" s="42"/>
      <c r="C219" s="43"/>
      <c r="D219" s="44"/>
      <c r="E219" s="49"/>
      <c r="F219" s="49"/>
      <c r="G219" s="49"/>
      <c r="H219" s="49"/>
      <c r="I219" s="49"/>
      <c r="J219" s="49"/>
      <c r="K219" s="49"/>
      <c r="L219" s="44"/>
    </row>
    <row r="220" spans="1:12" ht="35.5" customHeight="1" x14ac:dyDescent="0.35">
      <c r="A220" s="36"/>
      <c r="B220" s="37"/>
      <c r="C220" s="38"/>
      <c r="D220" s="39"/>
      <c r="E220" s="48"/>
      <c r="F220" s="48"/>
      <c r="G220" s="48"/>
      <c r="H220" s="48"/>
      <c r="I220" s="48"/>
      <c r="J220" s="48"/>
      <c r="K220" s="48"/>
      <c r="L220" s="39"/>
    </row>
    <row r="221" spans="1:12" ht="35.5" customHeight="1" x14ac:dyDescent="0.35">
      <c r="A221" s="41"/>
      <c r="B221" s="42"/>
      <c r="C221" s="43"/>
      <c r="D221" s="44"/>
      <c r="E221" s="49"/>
      <c r="F221" s="49"/>
      <c r="G221" s="49"/>
      <c r="H221" s="49"/>
      <c r="I221" s="49"/>
      <c r="J221" s="49"/>
      <c r="K221" s="49"/>
      <c r="L221" s="44"/>
    </row>
    <row r="222" spans="1:12" ht="35.5" customHeight="1" x14ac:dyDescent="0.35">
      <c r="A222" s="36"/>
      <c r="B222" s="37"/>
      <c r="C222" s="38"/>
      <c r="D222" s="39"/>
      <c r="E222" s="48"/>
      <c r="F222" s="48"/>
      <c r="G222" s="48"/>
      <c r="H222" s="48"/>
      <c r="I222" s="48"/>
      <c r="J222" s="48"/>
      <c r="K222" s="48"/>
      <c r="L222" s="39"/>
    </row>
    <row r="223" spans="1:12" ht="35.5" customHeight="1" x14ac:dyDescent="0.35">
      <c r="A223" s="41"/>
      <c r="B223" s="42"/>
      <c r="C223" s="43"/>
      <c r="D223" s="44"/>
      <c r="E223" s="49"/>
      <c r="F223" s="49"/>
      <c r="G223" s="49"/>
      <c r="H223" s="49"/>
      <c r="I223" s="49"/>
      <c r="J223" s="49"/>
      <c r="K223" s="49"/>
      <c r="L223" s="44"/>
    </row>
    <row r="224" spans="1:12" ht="35.5" customHeight="1" x14ac:dyDescent="0.35">
      <c r="A224" s="36"/>
      <c r="B224" s="37"/>
      <c r="C224" s="38"/>
      <c r="D224" s="39"/>
      <c r="E224" s="48"/>
      <c r="F224" s="48"/>
      <c r="G224" s="48"/>
      <c r="H224" s="48"/>
      <c r="I224" s="48"/>
      <c r="J224" s="48"/>
      <c r="K224" s="48"/>
      <c r="L224" s="39"/>
    </row>
    <row r="225" spans="1:12" ht="35.5" customHeight="1" x14ac:dyDescent="0.35">
      <c r="A225" s="41"/>
      <c r="B225" s="42"/>
      <c r="C225" s="43"/>
      <c r="D225" s="44"/>
      <c r="E225" s="49"/>
      <c r="F225" s="49"/>
      <c r="G225" s="49"/>
      <c r="H225" s="49"/>
      <c r="I225" s="49"/>
      <c r="J225" s="49"/>
      <c r="K225" s="49"/>
      <c r="L225" s="44"/>
    </row>
    <row r="226" spans="1:12" ht="35.5" customHeight="1" x14ac:dyDescent="0.35">
      <c r="A226" s="36"/>
      <c r="B226" s="37"/>
      <c r="C226" s="38"/>
      <c r="D226" s="39"/>
      <c r="E226" s="48"/>
      <c r="F226" s="48"/>
      <c r="G226" s="48"/>
      <c r="H226" s="48"/>
      <c r="I226" s="48"/>
      <c r="J226" s="48"/>
      <c r="K226" s="48"/>
      <c r="L226" s="39"/>
    </row>
    <row r="227" spans="1:12" ht="35.5" customHeight="1" x14ac:dyDescent="0.35">
      <c r="A227" s="41"/>
      <c r="B227" s="42"/>
      <c r="C227" s="43"/>
      <c r="D227" s="44"/>
      <c r="E227" s="49"/>
      <c r="F227" s="49"/>
      <c r="G227" s="49"/>
      <c r="H227" s="49"/>
      <c r="I227" s="49"/>
      <c r="J227" s="49"/>
      <c r="K227" s="49"/>
      <c r="L227" s="44"/>
    </row>
    <row r="228" spans="1:12" ht="35.5" customHeight="1" x14ac:dyDescent="0.35">
      <c r="A228" s="36"/>
      <c r="B228" s="37"/>
      <c r="C228" s="38"/>
      <c r="D228" s="39"/>
      <c r="E228" s="48"/>
      <c r="F228" s="48"/>
      <c r="G228" s="48"/>
      <c r="H228" s="48"/>
      <c r="I228" s="48"/>
      <c r="J228" s="48"/>
      <c r="K228" s="48"/>
      <c r="L228" s="39"/>
    </row>
    <row r="229" spans="1:12" ht="35.5" customHeight="1" x14ac:dyDescent="0.35">
      <c r="A229" s="41"/>
      <c r="B229" s="42"/>
      <c r="C229" s="43"/>
      <c r="D229" s="44"/>
      <c r="E229" s="49"/>
      <c r="F229" s="49"/>
      <c r="G229" s="49"/>
      <c r="H229" s="49"/>
      <c r="I229" s="49"/>
      <c r="J229" s="49"/>
      <c r="K229" s="49"/>
      <c r="L229" s="44"/>
    </row>
    <row r="230" spans="1:12" ht="35.5" customHeight="1" x14ac:dyDescent="0.35">
      <c r="A230" s="36"/>
      <c r="B230" s="37"/>
      <c r="C230" s="38"/>
      <c r="D230" s="39"/>
      <c r="E230" s="48"/>
      <c r="F230" s="48"/>
      <c r="G230" s="48"/>
      <c r="H230" s="48"/>
      <c r="I230" s="48"/>
      <c r="J230" s="48"/>
      <c r="K230" s="48"/>
      <c r="L230" s="39"/>
    </row>
    <row r="231" spans="1:12" ht="35.5" customHeight="1" x14ac:dyDescent="0.35">
      <c r="A231" s="41"/>
      <c r="B231" s="42"/>
      <c r="C231" s="43"/>
      <c r="D231" s="44"/>
      <c r="E231" s="49"/>
      <c r="F231" s="49"/>
      <c r="G231" s="49"/>
      <c r="H231" s="49"/>
      <c r="I231" s="49"/>
      <c r="J231" s="49"/>
      <c r="K231" s="49"/>
      <c r="L231" s="44"/>
    </row>
    <row r="232" spans="1:12" ht="35.5" customHeight="1" x14ac:dyDescent="0.35">
      <c r="A232" s="36"/>
      <c r="B232" s="37"/>
      <c r="C232" s="38"/>
      <c r="D232" s="39"/>
      <c r="E232" s="48"/>
      <c r="F232" s="48"/>
      <c r="G232" s="48"/>
      <c r="H232" s="48"/>
      <c r="I232" s="48"/>
      <c r="J232" s="48"/>
      <c r="K232" s="48"/>
      <c r="L232" s="39"/>
    </row>
    <row r="233" spans="1:12" ht="35.5" customHeight="1" x14ac:dyDescent="0.35">
      <c r="A233" s="41"/>
      <c r="B233" s="42"/>
      <c r="C233" s="43"/>
      <c r="D233" s="44"/>
      <c r="E233" s="49"/>
      <c r="F233" s="49"/>
      <c r="G233" s="49"/>
      <c r="H233" s="49"/>
      <c r="I233" s="49"/>
      <c r="J233" s="49"/>
      <c r="K233" s="49"/>
      <c r="L233" s="44"/>
    </row>
    <row r="234" spans="1:12" ht="35.5" customHeight="1" x14ac:dyDescent="0.35">
      <c r="A234" s="36"/>
      <c r="B234" s="37"/>
      <c r="C234" s="38"/>
      <c r="D234" s="39"/>
      <c r="E234" s="48"/>
      <c r="F234" s="48"/>
      <c r="G234" s="48"/>
      <c r="H234" s="48"/>
      <c r="I234" s="48"/>
      <c r="J234" s="48"/>
      <c r="K234" s="48"/>
      <c r="L234" s="39"/>
    </row>
    <row r="235" spans="1:12" ht="35.5" customHeight="1" x14ac:dyDescent="0.35">
      <c r="A235" s="41"/>
      <c r="B235" s="42"/>
      <c r="C235" s="43"/>
      <c r="D235" s="44"/>
      <c r="E235" s="49"/>
      <c r="F235" s="49"/>
      <c r="G235" s="49"/>
      <c r="H235" s="49"/>
      <c r="I235" s="49"/>
      <c r="J235" s="49"/>
      <c r="K235" s="49"/>
      <c r="L235" s="44"/>
    </row>
    <row r="236" spans="1:12" ht="35.5" customHeight="1" x14ac:dyDescent="0.35">
      <c r="A236" s="36"/>
      <c r="B236" s="37"/>
      <c r="C236" s="38"/>
      <c r="D236" s="39"/>
      <c r="E236" s="48"/>
      <c r="F236" s="48"/>
      <c r="G236" s="48"/>
      <c r="H236" s="48"/>
      <c r="I236" s="48"/>
      <c r="J236" s="48"/>
      <c r="K236" s="48"/>
      <c r="L236" s="39"/>
    </row>
    <row r="237" spans="1:12" ht="35.5" customHeight="1" x14ac:dyDescent="0.35">
      <c r="A237" s="41"/>
      <c r="B237" s="42"/>
      <c r="C237" s="43"/>
      <c r="D237" s="44"/>
      <c r="E237" s="49"/>
      <c r="F237" s="49"/>
      <c r="G237" s="49"/>
      <c r="H237" s="49"/>
      <c r="I237" s="49"/>
      <c r="J237" s="49"/>
      <c r="K237" s="49"/>
      <c r="L237" s="44"/>
    </row>
    <row r="238" spans="1:12" ht="35.5" customHeight="1" x14ac:dyDescent="0.35">
      <c r="A238" s="36"/>
      <c r="B238" s="37"/>
      <c r="C238" s="38"/>
      <c r="D238" s="39"/>
      <c r="E238" s="48"/>
      <c r="F238" s="48"/>
      <c r="G238" s="48"/>
      <c r="H238" s="48"/>
      <c r="I238" s="48"/>
      <c r="J238" s="48"/>
      <c r="K238" s="48"/>
      <c r="L238" s="39"/>
    </row>
    <row r="239" spans="1:12" ht="35.5" customHeight="1" x14ac:dyDescent="0.35">
      <c r="A239" s="41"/>
      <c r="B239" s="42"/>
      <c r="C239" s="43"/>
      <c r="D239" s="44"/>
      <c r="E239" s="49"/>
      <c r="F239" s="49"/>
      <c r="G239" s="49"/>
      <c r="H239" s="49"/>
      <c r="I239" s="49"/>
      <c r="J239" s="49"/>
      <c r="K239" s="49"/>
      <c r="L239" s="44"/>
    </row>
    <row r="240" spans="1:12" ht="35.5" customHeight="1" x14ac:dyDescent="0.35">
      <c r="A240" s="36"/>
      <c r="B240" s="37"/>
      <c r="C240" s="38"/>
      <c r="D240" s="39"/>
      <c r="E240" s="48"/>
      <c r="F240" s="48"/>
      <c r="G240" s="48"/>
      <c r="H240" s="48"/>
      <c r="I240" s="48"/>
      <c r="J240" s="48"/>
      <c r="K240" s="48"/>
      <c r="L240" s="39"/>
    </row>
    <row r="241" spans="1:12" ht="35.5" customHeight="1" x14ac:dyDescent="0.35">
      <c r="A241" s="41"/>
      <c r="B241" s="42"/>
      <c r="C241" s="43"/>
      <c r="D241" s="44"/>
      <c r="E241" s="49"/>
      <c r="F241" s="49"/>
      <c r="G241" s="49"/>
      <c r="H241" s="49"/>
      <c r="I241" s="49"/>
      <c r="J241" s="49"/>
      <c r="K241" s="49"/>
      <c r="L241" s="44"/>
    </row>
    <row r="242" spans="1:12" ht="35.5" customHeight="1" x14ac:dyDescent="0.35">
      <c r="A242" s="36"/>
      <c r="B242" s="37"/>
      <c r="C242" s="38"/>
      <c r="D242" s="39"/>
      <c r="E242" s="48"/>
      <c r="F242" s="48"/>
      <c r="G242" s="48"/>
      <c r="H242" s="48"/>
      <c r="I242" s="48"/>
      <c r="J242" s="48"/>
      <c r="K242" s="48"/>
      <c r="L242" s="39"/>
    </row>
    <row r="243" spans="1:12" ht="35.5" customHeight="1" x14ac:dyDescent="0.35">
      <c r="A243" s="41"/>
      <c r="B243" s="42"/>
      <c r="C243" s="43"/>
      <c r="D243" s="44"/>
      <c r="E243" s="49"/>
      <c r="F243" s="49"/>
      <c r="G243" s="49"/>
      <c r="H243" s="49"/>
      <c r="I243" s="49"/>
      <c r="J243" s="49"/>
      <c r="K243" s="49"/>
      <c r="L243" s="44"/>
    </row>
    <row r="244" spans="1:12" ht="35.5" customHeight="1" x14ac:dyDescent="0.35">
      <c r="A244" s="36"/>
      <c r="B244" s="37"/>
      <c r="C244" s="38"/>
      <c r="D244" s="39"/>
      <c r="E244" s="48"/>
      <c r="F244" s="48"/>
      <c r="G244" s="48"/>
      <c r="H244" s="48"/>
      <c r="I244" s="48"/>
      <c r="J244" s="48"/>
      <c r="K244" s="48"/>
      <c r="L244" s="39"/>
    </row>
    <row r="245" spans="1:12" ht="35.5" customHeight="1" x14ac:dyDescent="0.35">
      <c r="A245" s="41"/>
      <c r="B245" s="42"/>
      <c r="C245" s="43"/>
      <c r="D245" s="44"/>
      <c r="E245" s="49"/>
      <c r="F245" s="49"/>
      <c r="G245" s="49"/>
      <c r="H245" s="49"/>
      <c r="I245" s="49"/>
      <c r="J245" s="49"/>
      <c r="K245" s="49"/>
      <c r="L245" s="44"/>
    </row>
    <row r="246" spans="1:12" ht="35.5" customHeight="1" x14ac:dyDescent="0.35">
      <c r="A246" s="36"/>
      <c r="B246" s="37"/>
      <c r="C246" s="38"/>
      <c r="D246" s="39"/>
      <c r="E246" s="48"/>
      <c r="F246" s="48"/>
      <c r="G246" s="48"/>
      <c r="H246" s="48"/>
      <c r="I246" s="48"/>
      <c r="J246" s="48"/>
      <c r="K246" s="48"/>
      <c r="L246" s="39"/>
    </row>
    <row r="247" spans="1:12" ht="35.5" customHeight="1" x14ac:dyDescent="0.35">
      <c r="A247" s="41"/>
      <c r="B247" s="42"/>
      <c r="C247" s="43"/>
      <c r="D247" s="44"/>
      <c r="E247" s="49"/>
      <c r="F247" s="49"/>
      <c r="G247" s="49"/>
      <c r="H247" s="49"/>
      <c r="I247" s="49"/>
      <c r="J247" s="49"/>
      <c r="K247" s="49"/>
      <c r="L247" s="44"/>
    </row>
    <row r="248" spans="1:12" ht="35.5" customHeight="1" x14ac:dyDescent="0.35">
      <c r="A248" s="36"/>
      <c r="B248" s="37"/>
      <c r="C248" s="38"/>
      <c r="D248" s="39"/>
      <c r="E248" s="48"/>
      <c r="F248" s="48"/>
      <c r="G248" s="48"/>
      <c r="H248" s="48"/>
      <c r="I248" s="48"/>
      <c r="J248" s="48"/>
      <c r="K248" s="48"/>
      <c r="L248" s="39"/>
    </row>
    <row r="249" spans="1:12" ht="35.5" customHeight="1" x14ac:dyDescent="0.35">
      <c r="A249" s="41"/>
      <c r="B249" s="42"/>
      <c r="C249" s="43"/>
      <c r="D249" s="44"/>
      <c r="E249" s="49"/>
      <c r="F249" s="49"/>
      <c r="G249" s="49"/>
      <c r="H249" s="49"/>
      <c r="I249" s="49"/>
      <c r="J249" s="49"/>
      <c r="K249" s="49"/>
      <c r="L249" s="44"/>
    </row>
    <row r="250" spans="1:12" ht="35.5" customHeight="1" x14ac:dyDescent="0.35">
      <c r="A250" s="36"/>
      <c r="B250" s="37"/>
      <c r="C250" s="38"/>
      <c r="D250" s="39"/>
      <c r="E250" s="48"/>
      <c r="F250" s="48"/>
      <c r="G250" s="48"/>
      <c r="H250" s="48"/>
      <c r="I250" s="48"/>
      <c r="J250" s="48"/>
      <c r="K250" s="48"/>
      <c r="L250" s="39"/>
    </row>
    <row r="251" spans="1:12" ht="35.5" customHeight="1" x14ac:dyDescent="0.35">
      <c r="A251" s="41"/>
      <c r="B251" s="42"/>
      <c r="C251" s="43"/>
      <c r="D251" s="44"/>
      <c r="E251" s="49"/>
      <c r="F251" s="49"/>
      <c r="G251" s="49"/>
      <c r="H251" s="49"/>
      <c r="I251" s="49"/>
      <c r="J251" s="49"/>
      <c r="K251" s="49"/>
      <c r="L251" s="44"/>
    </row>
    <row r="252" spans="1:12" ht="35.5" customHeight="1" x14ac:dyDescent="0.35">
      <c r="A252" s="36"/>
      <c r="B252" s="37"/>
      <c r="C252" s="38"/>
      <c r="D252" s="39"/>
      <c r="E252" s="48"/>
      <c r="F252" s="48"/>
      <c r="G252" s="48"/>
      <c r="H252" s="48"/>
      <c r="I252" s="48"/>
      <c r="J252" s="48"/>
      <c r="K252" s="48"/>
      <c r="L252" s="39"/>
    </row>
    <row r="253" spans="1:12" ht="35.5" customHeight="1" x14ac:dyDescent="0.35">
      <c r="A253" s="41"/>
      <c r="B253" s="42"/>
      <c r="C253" s="43"/>
      <c r="D253" s="44"/>
      <c r="E253" s="49"/>
      <c r="F253" s="49"/>
      <c r="G253" s="49"/>
      <c r="H253" s="49"/>
      <c r="I253" s="49"/>
      <c r="J253" s="49"/>
      <c r="K253" s="49"/>
      <c r="L253" s="44"/>
    </row>
    <row r="254" spans="1:12" ht="35.5" customHeight="1" x14ac:dyDescent="0.35">
      <c r="A254" s="36"/>
      <c r="B254" s="37"/>
      <c r="C254" s="38"/>
      <c r="D254" s="39"/>
      <c r="E254" s="48"/>
      <c r="F254" s="48"/>
      <c r="G254" s="48"/>
      <c r="H254" s="48"/>
      <c r="I254" s="48"/>
      <c r="J254" s="48"/>
      <c r="K254" s="48"/>
      <c r="L254" s="39"/>
    </row>
    <row r="255" spans="1:12" ht="35.5" customHeight="1" x14ac:dyDescent="0.35">
      <c r="A255" s="41"/>
      <c r="B255" s="42"/>
      <c r="C255" s="43"/>
      <c r="D255" s="44"/>
      <c r="E255" s="49"/>
      <c r="F255" s="49"/>
      <c r="G255" s="49"/>
      <c r="H255" s="49"/>
      <c r="I255" s="49"/>
      <c r="J255" s="49"/>
      <c r="K255" s="49"/>
      <c r="L255" s="44"/>
    </row>
    <row r="256" spans="1:12" ht="35.5" customHeight="1" x14ac:dyDescent="0.35">
      <c r="A256" s="36"/>
      <c r="B256" s="37"/>
      <c r="C256" s="38"/>
      <c r="D256" s="39"/>
      <c r="E256" s="48"/>
      <c r="F256" s="48"/>
      <c r="G256" s="48"/>
      <c r="H256" s="48"/>
      <c r="I256" s="48"/>
      <c r="J256" s="48"/>
      <c r="K256" s="48"/>
      <c r="L256" s="39"/>
    </row>
    <row r="257" spans="1:12" ht="35.5" customHeight="1" x14ac:dyDescent="0.35">
      <c r="A257" s="41"/>
      <c r="B257" s="42"/>
      <c r="C257" s="43"/>
      <c r="D257" s="44"/>
      <c r="E257" s="49"/>
      <c r="F257" s="49"/>
      <c r="G257" s="49"/>
      <c r="H257" s="49"/>
      <c r="I257" s="49"/>
      <c r="J257" s="49"/>
      <c r="K257" s="49"/>
      <c r="L257" s="44"/>
    </row>
    <row r="258" spans="1:12" ht="35.5" customHeight="1" x14ac:dyDescent="0.35">
      <c r="A258" s="36"/>
      <c r="B258" s="37"/>
      <c r="C258" s="38"/>
      <c r="D258" s="39"/>
      <c r="E258" s="48"/>
      <c r="F258" s="48"/>
      <c r="G258" s="48"/>
      <c r="H258" s="48"/>
      <c r="I258" s="48"/>
      <c r="J258" s="48"/>
      <c r="K258" s="48"/>
      <c r="L258" s="39"/>
    </row>
    <row r="259" spans="1:12" ht="35.5" customHeight="1" x14ac:dyDescent="0.35">
      <c r="A259" s="41"/>
      <c r="B259" s="42"/>
      <c r="C259" s="43"/>
      <c r="D259" s="44"/>
      <c r="E259" s="49"/>
      <c r="F259" s="49"/>
      <c r="G259" s="49"/>
      <c r="H259" s="49"/>
      <c r="I259" s="49"/>
      <c r="J259" s="49"/>
      <c r="K259" s="49"/>
      <c r="L259" s="44"/>
    </row>
    <row r="260" spans="1:12" ht="35.5" customHeight="1" x14ac:dyDescent="0.35">
      <c r="A260" s="36"/>
      <c r="B260" s="37"/>
      <c r="C260" s="38"/>
      <c r="D260" s="39"/>
      <c r="E260" s="48"/>
      <c r="F260" s="48"/>
      <c r="G260" s="48"/>
      <c r="H260" s="48"/>
      <c r="I260" s="48"/>
      <c r="J260" s="48"/>
      <c r="K260" s="48"/>
      <c r="L260" s="39"/>
    </row>
    <row r="261" spans="1:12" ht="35.5" customHeight="1" x14ac:dyDescent="0.35">
      <c r="A261" s="41"/>
      <c r="B261" s="42"/>
      <c r="C261" s="43"/>
      <c r="D261" s="44"/>
      <c r="E261" s="49"/>
      <c r="F261" s="49"/>
      <c r="G261" s="49"/>
      <c r="H261" s="49"/>
      <c r="I261" s="49"/>
      <c r="J261" s="49"/>
      <c r="K261" s="49"/>
      <c r="L261" s="44"/>
    </row>
    <row r="262" spans="1:12" ht="35.5" customHeight="1" x14ac:dyDescent="0.35">
      <c r="A262" s="36"/>
      <c r="B262" s="37"/>
      <c r="C262" s="38"/>
      <c r="D262" s="39"/>
      <c r="E262" s="48"/>
      <c r="F262" s="48"/>
      <c r="G262" s="48"/>
      <c r="H262" s="48"/>
      <c r="I262" s="48"/>
      <c r="J262" s="48"/>
      <c r="K262" s="48"/>
      <c r="L262" s="39"/>
    </row>
    <row r="263" spans="1:12" ht="35.5" customHeight="1" x14ac:dyDescent="0.35">
      <c r="A263" s="41"/>
      <c r="B263" s="42"/>
      <c r="C263" s="43"/>
      <c r="D263" s="44"/>
      <c r="E263" s="49"/>
      <c r="F263" s="49"/>
      <c r="G263" s="49"/>
      <c r="H263" s="49"/>
      <c r="I263" s="49"/>
      <c r="J263" s="49"/>
      <c r="K263" s="49"/>
      <c r="L263" s="44"/>
    </row>
    <row r="264" spans="1:12" ht="35.5" customHeight="1" x14ac:dyDescent="0.35">
      <c r="A264" s="36"/>
      <c r="B264" s="37"/>
      <c r="C264" s="38"/>
      <c r="D264" s="39"/>
      <c r="E264" s="48"/>
      <c r="F264" s="48"/>
      <c r="G264" s="48"/>
      <c r="H264" s="48"/>
      <c r="I264" s="48"/>
      <c r="J264" s="48"/>
      <c r="K264" s="48"/>
      <c r="L264" s="39"/>
    </row>
    <row r="265" spans="1:12" ht="35.5" customHeight="1" x14ac:dyDescent="0.35">
      <c r="A265" s="41"/>
      <c r="B265" s="42"/>
      <c r="C265" s="43"/>
      <c r="D265" s="44"/>
      <c r="E265" s="49"/>
      <c r="F265" s="49"/>
      <c r="G265" s="49"/>
      <c r="H265" s="49"/>
      <c r="I265" s="49"/>
      <c r="J265" s="49"/>
      <c r="K265" s="49"/>
      <c r="L265" s="44"/>
    </row>
    <row r="266" spans="1:12" ht="35.5" customHeight="1" x14ac:dyDescent="0.35">
      <c r="A266" s="36"/>
      <c r="B266" s="37"/>
      <c r="C266" s="38"/>
      <c r="D266" s="39"/>
      <c r="E266" s="48"/>
      <c r="F266" s="48"/>
      <c r="G266" s="48"/>
      <c r="H266" s="48"/>
      <c r="I266" s="48"/>
      <c r="J266" s="48"/>
      <c r="K266" s="48"/>
      <c r="L266" s="39"/>
    </row>
    <row r="267" spans="1:12" ht="35.5" customHeight="1" x14ac:dyDescent="0.35">
      <c r="A267" s="41"/>
      <c r="B267" s="42"/>
      <c r="C267" s="43"/>
      <c r="D267" s="44"/>
      <c r="E267" s="49"/>
      <c r="F267" s="49"/>
      <c r="G267" s="49"/>
      <c r="H267" s="49"/>
      <c r="I267" s="49"/>
      <c r="J267" s="49"/>
      <c r="K267" s="49"/>
      <c r="L267" s="44"/>
    </row>
    <row r="268" spans="1:12" ht="35.5" customHeight="1" x14ac:dyDescent="0.35">
      <c r="A268" s="36"/>
      <c r="B268" s="37"/>
      <c r="C268" s="38"/>
      <c r="D268" s="39"/>
      <c r="E268" s="48"/>
      <c r="F268" s="48"/>
      <c r="G268" s="48"/>
      <c r="H268" s="48"/>
      <c r="I268" s="48"/>
      <c r="J268" s="48"/>
      <c r="K268" s="48"/>
      <c r="L268" s="39"/>
    </row>
    <row r="269" spans="1:12" ht="35.5" customHeight="1" x14ac:dyDescent="0.35">
      <c r="A269" s="41"/>
      <c r="B269" s="42"/>
      <c r="C269" s="43"/>
      <c r="D269" s="44"/>
      <c r="E269" s="49"/>
      <c r="F269" s="49"/>
      <c r="G269" s="49"/>
      <c r="H269" s="49"/>
      <c r="I269" s="49"/>
      <c r="J269" s="49"/>
      <c r="K269" s="49"/>
      <c r="L269" s="44"/>
    </row>
    <row r="270" spans="1:12" ht="35.5" customHeight="1" x14ac:dyDescent="0.35">
      <c r="A270" s="36"/>
      <c r="B270" s="37"/>
      <c r="C270" s="38"/>
      <c r="D270" s="39"/>
      <c r="E270" s="48"/>
      <c r="F270" s="48"/>
      <c r="G270" s="48"/>
      <c r="H270" s="48"/>
      <c r="I270" s="48"/>
      <c r="J270" s="48"/>
      <c r="K270" s="48"/>
      <c r="L270" s="39"/>
    </row>
    <row r="271" spans="1:12" ht="35.5" customHeight="1" x14ac:dyDescent="0.35">
      <c r="A271" s="41"/>
      <c r="B271" s="42"/>
      <c r="C271" s="43"/>
      <c r="D271" s="44"/>
      <c r="E271" s="49"/>
      <c r="F271" s="49"/>
      <c r="G271" s="49"/>
      <c r="H271" s="49"/>
      <c r="I271" s="49"/>
      <c r="J271" s="49"/>
      <c r="K271" s="49"/>
      <c r="L271" s="44"/>
    </row>
    <row r="272" spans="1:12" ht="35.5" customHeight="1" x14ac:dyDescent="0.35">
      <c r="A272" s="36"/>
      <c r="B272" s="37"/>
      <c r="C272" s="38"/>
      <c r="D272" s="39"/>
      <c r="E272" s="48"/>
      <c r="F272" s="48"/>
      <c r="G272" s="48"/>
      <c r="H272" s="48"/>
      <c r="I272" s="48"/>
      <c r="J272" s="48"/>
      <c r="K272" s="48"/>
      <c r="L272" s="39"/>
    </row>
    <row r="273" spans="1:12" ht="35.5" customHeight="1" x14ac:dyDescent="0.35">
      <c r="A273" s="41"/>
      <c r="B273" s="42"/>
      <c r="C273" s="43"/>
      <c r="D273" s="44"/>
      <c r="E273" s="49"/>
      <c r="F273" s="49"/>
      <c r="G273" s="49"/>
      <c r="H273" s="49"/>
      <c r="I273" s="49"/>
      <c r="J273" s="49"/>
      <c r="K273" s="49"/>
      <c r="L273" s="44"/>
    </row>
    <row r="274" spans="1:12" ht="35.5" customHeight="1" x14ac:dyDescent="0.35">
      <c r="A274" s="36"/>
      <c r="B274" s="37"/>
      <c r="C274" s="38"/>
      <c r="D274" s="39"/>
      <c r="E274" s="48"/>
      <c r="F274" s="48"/>
      <c r="G274" s="48"/>
      <c r="H274" s="48"/>
      <c r="I274" s="48"/>
      <c r="J274" s="48"/>
      <c r="K274" s="48"/>
      <c r="L274" s="39"/>
    </row>
    <row r="275" spans="1:12" ht="35.5" customHeight="1" x14ac:dyDescent="0.35">
      <c r="A275" s="41"/>
      <c r="B275" s="42"/>
      <c r="C275" s="43"/>
      <c r="D275" s="44"/>
      <c r="E275" s="49"/>
      <c r="F275" s="49"/>
      <c r="G275" s="49"/>
      <c r="H275" s="49"/>
      <c r="I275" s="49"/>
      <c r="J275" s="49"/>
      <c r="K275" s="49"/>
      <c r="L275" s="44"/>
    </row>
    <row r="276" spans="1:12" ht="35.5" customHeight="1" x14ac:dyDescent="0.35">
      <c r="A276" s="36"/>
      <c r="B276" s="37"/>
      <c r="C276" s="38"/>
      <c r="D276" s="39"/>
      <c r="E276" s="48"/>
      <c r="F276" s="48"/>
      <c r="G276" s="48"/>
      <c r="H276" s="48"/>
      <c r="I276" s="48"/>
      <c r="J276" s="48"/>
      <c r="K276" s="48"/>
      <c r="L276" s="39"/>
    </row>
    <row r="277" spans="1:12" ht="35.5" customHeight="1" x14ac:dyDescent="0.35">
      <c r="A277" s="41"/>
      <c r="B277" s="42"/>
      <c r="C277" s="43"/>
      <c r="D277" s="44"/>
      <c r="E277" s="49"/>
      <c r="F277" s="49"/>
      <c r="G277" s="49"/>
      <c r="H277" s="49"/>
      <c r="I277" s="49"/>
      <c r="J277" s="49"/>
      <c r="K277" s="49"/>
      <c r="L277" s="44"/>
    </row>
    <row r="278" spans="1:12" ht="35.5" customHeight="1" x14ac:dyDescent="0.35">
      <c r="A278" s="36"/>
      <c r="B278" s="37"/>
      <c r="C278" s="38"/>
      <c r="D278" s="39"/>
      <c r="E278" s="48"/>
      <c r="F278" s="48"/>
      <c r="G278" s="48"/>
      <c r="H278" s="48"/>
      <c r="I278" s="48"/>
      <c r="J278" s="48"/>
      <c r="K278" s="48"/>
      <c r="L278" s="39"/>
    </row>
    <row r="279" spans="1:12" ht="35.5" customHeight="1" x14ac:dyDescent="0.35">
      <c r="A279" s="41"/>
      <c r="B279" s="42"/>
      <c r="C279" s="43"/>
      <c r="D279" s="44"/>
      <c r="E279" s="49"/>
      <c r="F279" s="49"/>
      <c r="G279" s="49"/>
      <c r="H279" s="49"/>
      <c r="I279" s="49"/>
      <c r="J279" s="49"/>
      <c r="K279" s="49"/>
      <c r="L279" s="44"/>
    </row>
    <row r="280" spans="1:12" ht="35.5" customHeight="1" x14ac:dyDescent="0.35">
      <c r="A280" s="36"/>
      <c r="B280" s="37"/>
      <c r="C280" s="38"/>
      <c r="D280" s="39"/>
      <c r="E280" s="48"/>
      <c r="F280" s="48"/>
      <c r="G280" s="48"/>
      <c r="H280" s="48"/>
      <c r="I280" s="48"/>
      <c r="J280" s="48"/>
      <c r="K280" s="48"/>
      <c r="L280" s="39"/>
    </row>
    <row r="281" spans="1:12" ht="35.5" customHeight="1" x14ac:dyDescent="0.35">
      <c r="A281" s="41"/>
      <c r="B281" s="42"/>
      <c r="C281" s="43"/>
      <c r="D281" s="44"/>
      <c r="E281" s="49"/>
      <c r="F281" s="49"/>
      <c r="G281" s="49"/>
      <c r="H281" s="49"/>
      <c r="I281" s="49"/>
      <c r="J281" s="49"/>
      <c r="K281" s="49"/>
      <c r="L281" s="44"/>
    </row>
    <row r="282" spans="1:12" ht="35.5" customHeight="1" x14ac:dyDescent="0.35">
      <c r="A282" s="36"/>
      <c r="B282" s="37"/>
      <c r="C282" s="38"/>
      <c r="D282" s="39"/>
      <c r="E282" s="48"/>
      <c r="F282" s="48"/>
      <c r="G282" s="48"/>
      <c r="H282" s="48"/>
      <c r="I282" s="48"/>
      <c r="J282" s="48"/>
      <c r="K282" s="48"/>
      <c r="L282" s="39"/>
    </row>
    <row r="283" spans="1:12" ht="35.5" customHeight="1" x14ac:dyDescent="0.35">
      <c r="A283" s="41"/>
      <c r="B283" s="42"/>
      <c r="C283" s="43"/>
      <c r="D283" s="44"/>
      <c r="E283" s="49"/>
      <c r="F283" s="49"/>
      <c r="G283" s="49"/>
      <c r="H283" s="49"/>
      <c r="I283" s="49"/>
      <c r="J283" s="49"/>
      <c r="K283" s="49"/>
      <c r="L283" s="44"/>
    </row>
    <row r="284" spans="1:12" ht="35.5" customHeight="1" x14ac:dyDescent="0.35">
      <c r="A284" s="36"/>
      <c r="B284" s="37"/>
      <c r="C284" s="38"/>
      <c r="D284" s="39"/>
      <c r="E284" s="48"/>
      <c r="F284" s="48"/>
      <c r="G284" s="48"/>
      <c r="H284" s="48"/>
      <c r="I284" s="48"/>
      <c r="J284" s="48"/>
      <c r="K284" s="48"/>
      <c r="L284" s="39"/>
    </row>
    <row r="285" spans="1:12" ht="35.5" customHeight="1" x14ac:dyDescent="0.35">
      <c r="A285" s="41"/>
      <c r="B285" s="42"/>
      <c r="C285" s="43"/>
      <c r="D285" s="44"/>
      <c r="E285" s="49"/>
      <c r="F285" s="49"/>
      <c r="G285" s="49"/>
      <c r="H285" s="49"/>
      <c r="I285" s="49"/>
      <c r="J285" s="49"/>
      <c r="K285" s="49"/>
      <c r="L285" s="44"/>
    </row>
    <row r="286" spans="1:12" ht="35.5" customHeight="1" x14ac:dyDescent="0.35">
      <c r="A286" s="36"/>
      <c r="B286" s="37"/>
      <c r="C286" s="38"/>
      <c r="D286" s="39"/>
      <c r="E286" s="48"/>
      <c r="F286" s="48"/>
      <c r="G286" s="48"/>
      <c r="H286" s="48"/>
      <c r="I286" s="48"/>
      <c r="J286" s="48"/>
      <c r="K286" s="48"/>
      <c r="L286" s="39"/>
    </row>
    <row r="287" spans="1:12" ht="35.5" customHeight="1" x14ac:dyDescent="0.35">
      <c r="A287" s="41"/>
      <c r="B287" s="42"/>
      <c r="C287" s="43"/>
      <c r="D287" s="44"/>
      <c r="E287" s="49"/>
      <c r="F287" s="49"/>
      <c r="G287" s="49"/>
      <c r="H287" s="49"/>
      <c r="I287" s="49"/>
      <c r="J287" s="49"/>
      <c r="K287" s="49"/>
      <c r="L287" s="44"/>
    </row>
    <row r="288" spans="1:12" ht="35.5" customHeight="1" x14ac:dyDescent="0.35">
      <c r="A288" s="36"/>
      <c r="B288" s="37"/>
      <c r="C288" s="38"/>
      <c r="D288" s="39"/>
      <c r="E288" s="48"/>
      <c r="F288" s="48"/>
      <c r="G288" s="48"/>
      <c r="H288" s="48"/>
      <c r="I288" s="48"/>
      <c r="J288" s="48"/>
      <c r="K288" s="48"/>
      <c r="L288" s="39"/>
    </row>
    <row r="289" spans="1:12" ht="35.5" customHeight="1" x14ac:dyDescent="0.35">
      <c r="A289" s="41"/>
      <c r="B289" s="42"/>
      <c r="C289" s="43"/>
      <c r="D289" s="44"/>
      <c r="E289" s="49"/>
      <c r="F289" s="49"/>
      <c r="G289" s="49"/>
      <c r="H289" s="49"/>
      <c r="I289" s="49"/>
      <c r="J289" s="49"/>
      <c r="K289" s="49"/>
      <c r="L289" s="44"/>
    </row>
    <row r="290" spans="1:12" ht="35.5" customHeight="1" x14ac:dyDescent="0.35">
      <c r="A290" s="36"/>
      <c r="B290" s="37"/>
      <c r="C290" s="38"/>
      <c r="D290" s="39"/>
      <c r="E290" s="48"/>
      <c r="F290" s="48"/>
      <c r="G290" s="48"/>
      <c r="H290" s="48"/>
      <c r="I290" s="48"/>
      <c r="J290" s="48"/>
      <c r="K290" s="48"/>
      <c r="L290" s="39"/>
    </row>
    <row r="291" spans="1:12" ht="35.5" customHeight="1" x14ac:dyDescent="0.35">
      <c r="A291" s="41"/>
      <c r="B291" s="42"/>
      <c r="C291" s="43"/>
      <c r="D291" s="44"/>
      <c r="E291" s="49"/>
      <c r="F291" s="49"/>
      <c r="G291" s="49"/>
      <c r="H291" s="49"/>
      <c r="I291" s="49"/>
      <c r="J291" s="49"/>
      <c r="K291" s="49"/>
      <c r="L291" s="44"/>
    </row>
    <row r="292" spans="1:12" ht="35.5" customHeight="1" x14ac:dyDescent="0.35">
      <c r="A292" s="36"/>
      <c r="B292" s="37"/>
      <c r="C292" s="38"/>
      <c r="D292" s="39"/>
      <c r="E292" s="48"/>
      <c r="F292" s="48"/>
      <c r="G292" s="48"/>
      <c r="H292" s="48"/>
      <c r="I292" s="48"/>
      <c r="J292" s="48"/>
      <c r="K292" s="48"/>
      <c r="L292" s="39"/>
    </row>
    <row r="293" spans="1:12" ht="35.5" customHeight="1" x14ac:dyDescent="0.35">
      <c r="A293" s="41"/>
      <c r="B293" s="42"/>
      <c r="C293" s="43"/>
      <c r="D293" s="44"/>
      <c r="E293" s="49"/>
      <c r="F293" s="49"/>
      <c r="G293" s="49"/>
      <c r="H293" s="49"/>
      <c r="I293" s="49"/>
      <c r="J293" s="49"/>
      <c r="K293" s="49"/>
      <c r="L293" s="44"/>
    </row>
    <row r="294" spans="1:12" ht="35.5" customHeight="1" x14ac:dyDescent="0.35">
      <c r="A294" s="36"/>
      <c r="B294" s="37"/>
      <c r="C294" s="38"/>
      <c r="D294" s="39"/>
      <c r="E294" s="48"/>
      <c r="F294" s="48"/>
      <c r="G294" s="48"/>
      <c r="H294" s="48"/>
      <c r="I294" s="48"/>
      <c r="J294" s="48"/>
      <c r="K294" s="48"/>
      <c r="L294" s="39"/>
    </row>
    <row r="295" spans="1:12" ht="35.5" customHeight="1" x14ac:dyDescent="0.35">
      <c r="A295" s="41"/>
      <c r="B295" s="42"/>
      <c r="C295" s="43"/>
      <c r="D295" s="44"/>
      <c r="E295" s="49"/>
      <c r="F295" s="49"/>
      <c r="G295" s="49"/>
      <c r="H295" s="49"/>
      <c r="I295" s="49"/>
      <c r="J295" s="49"/>
      <c r="K295" s="49"/>
      <c r="L295" s="44"/>
    </row>
    <row r="296" spans="1:12" ht="35.5" customHeight="1" x14ac:dyDescent="0.35">
      <c r="A296" s="36"/>
      <c r="B296" s="37"/>
      <c r="C296" s="38"/>
      <c r="D296" s="39"/>
      <c r="E296" s="48"/>
      <c r="F296" s="48"/>
      <c r="G296" s="48"/>
      <c r="H296" s="48"/>
      <c r="I296" s="48"/>
      <c r="J296" s="48"/>
      <c r="K296" s="48"/>
      <c r="L296" s="39"/>
    </row>
    <row r="297" spans="1:12" ht="35.5" customHeight="1" x14ac:dyDescent="0.35">
      <c r="A297" s="41"/>
      <c r="B297" s="42"/>
      <c r="C297" s="43"/>
      <c r="D297" s="44"/>
      <c r="E297" s="49"/>
      <c r="F297" s="49"/>
      <c r="G297" s="49"/>
      <c r="H297" s="49"/>
      <c r="I297" s="49"/>
      <c r="J297" s="49"/>
      <c r="K297" s="49"/>
      <c r="L297" s="44"/>
    </row>
    <row r="298" spans="1:12" ht="35.5" customHeight="1" x14ac:dyDescent="0.35">
      <c r="A298" s="36"/>
      <c r="B298" s="37"/>
      <c r="C298" s="38"/>
      <c r="D298" s="39"/>
      <c r="E298" s="48"/>
      <c r="F298" s="48"/>
      <c r="G298" s="48"/>
      <c r="H298" s="48"/>
      <c r="I298" s="48"/>
      <c r="J298" s="48"/>
      <c r="K298" s="48"/>
      <c r="L298" s="39"/>
    </row>
    <row r="299" spans="1:12" ht="35.5" customHeight="1" x14ac:dyDescent="0.35">
      <c r="A299" s="41"/>
      <c r="B299" s="42"/>
      <c r="C299" s="43"/>
      <c r="D299" s="44"/>
      <c r="E299" s="49"/>
      <c r="F299" s="49"/>
      <c r="G299" s="49"/>
      <c r="H299" s="49"/>
      <c r="I299" s="49"/>
      <c r="J299" s="49"/>
      <c r="K299" s="49"/>
      <c r="L299" s="44"/>
    </row>
    <row r="300" spans="1:12" ht="35.5" customHeight="1" x14ac:dyDescent="0.35">
      <c r="A300" s="36"/>
      <c r="B300" s="37"/>
      <c r="C300" s="38"/>
      <c r="D300" s="39"/>
      <c r="E300" s="48"/>
      <c r="F300" s="48"/>
      <c r="G300" s="48"/>
      <c r="H300" s="48"/>
      <c r="I300" s="48"/>
      <c r="J300" s="48"/>
      <c r="K300" s="48"/>
      <c r="L300" s="39"/>
    </row>
    <row r="301" spans="1:12" ht="35.5" customHeight="1" x14ac:dyDescent="0.35">
      <c r="A301" s="41"/>
      <c r="B301" s="42"/>
      <c r="C301" s="43"/>
      <c r="D301" s="44"/>
      <c r="E301" s="49"/>
      <c r="F301" s="49"/>
      <c r="G301" s="49"/>
      <c r="H301" s="49"/>
      <c r="I301" s="49"/>
      <c r="J301" s="49"/>
      <c r="K301" s="49"/>
      <c r="L301" s="44"/>
    </row>
    <row r="302" spans="1:12" ht="35.5" customHeight="1" x14ac:dyDescent="0.35">
      <c r="A302" s="36"/>
      <c r="B302" s="37"/>
      <c r="C302" s="38"/>
      <c r="D302" s="39"/>
      <c r="E302" s="48"/>
      <c r="F302" s="48"/>
      <c r="G302" s="48"/>
      <c r="H302" s="48"/>
      <c r="I302" s="48"/>
      <c r="J302" s="48"/>
      <c r="K302" s="48"/>
      <c r="L302" s="39"/>
    </row>
    <row r="303" spans="1:12" ht="35.5" customHeight="1" x14ac:dyDescent="0.35">
      <c r="A303" s="41"/>
      <c r="B303" s="42"/>
      <c r="C303" s="43"/>
      <c r="D303" s="44"/>
      <c r="E303" s="49"/>
      <c r="F303" s="49"/>
      <c r="G303" s="49"/>
      <c r="H303" s="49"/>
      <c r="I303" s="49"/>
      <c r="J303" s="49"/>
      <c r="K303" s="49"/>
      <c r="L303" s="44"/>
    </row>
    <row r="304" spans="1:12" ht="35.5" customHeight="1" x14ac:dyDescent="0.35">
      <c r="A304" s="36"/>
      <c r="B304" s="37"/>
      <c r="C304" s="38"/>
      <c r="D304" s="39"/>
      <c r="E304" s="48"/>
      <c r="F304" s="48"/>
      <c r="G304" s="48"/>
      <c r="H304" s="48"/>
      <c r="I304" s="48"/>
      <c r="J304" s="48"/>
      <c r="K304" s="48"/>
      <c r="L304" s="39"/>
    </row>
    <row r="305" spans="1:12" ht="35.5" customHeight="1" x14ac:dyDescent="0.35">
      <c r="A305" s="41"/>
      <c r="B305" s="42"/>
      <c r="C305" s="43"/>
      <c r="D305" s="44"/>
      <c r="E305" s="49"/>
      <c r="F305" s="49"/>
      <c r="G305" s="49"/>
      <c r="H305" s="49"/>
      <c r="I305" s="49"/>
      <c r="J305" s="49"/>
      <c r="K305" s="49"/>
      <c r="L305" s="44"/>
    </row>
    <row r="306" spans="1:12" ht="35.5" customHeight="1" x14ac:dyDescent="0.35">
      <c r="A306" s="36"/>
      <c r="B306" s="37"/>
      <c r="C306" s="38"/>
      <c r="D306" s="39"/>
      <c r="E306" s="48"/>
      <c r="F306" s="48"/>
      <c r="G306" s="48"/>
      <c r="H306" s="48"/>
      <c r="I306" s="48"/>
      <c r="J306" s="48"/>
      <c r="K306" s="48"/>
      <c r="L306" s="39"/>
    </row>
    <row r="307" spans="1:12" ht="35.5" customHeight="1" x14ac:dyDescent="0.35">
      <c r="A307" s="41"/>
      <c r="B307" s="42"/>
      <c r="C307" s="43"/>
      <c r="D307" s="44"/>
      <c r="E307" s="49"/>
      <c r="F307" s="49"/>
      <c r="G307" s="49"/>
      <c r="H307" s="49"/>
      <c r="I307" s="49"/>
      <c r="J307" s="49"/>
      <c r="K307" s="49"/>
      <c r="L307" s="44"/>
    </row>
    <row r="308" spans="1:12" ht="35.5" customHeight="1" x14ac:dyDescent="0.35">
      <c r="A308" s="36"/>
      <c r="B308" s="37"/>
      <c r="C308" s="38"/>
      <c r="D308" s="39"/>
      <c r="E308" s="48"/>
      <c r="F308" s="48"/>
      <c r="G308" s="48"/>
      <c r="H308" s="48"/>
      <c r="I308" s="48"/>
      <c r="J308" s="48"/>
      <c r="K308" s="48"/>
      <c r="L308" s="39"/>
    </row>
    <row r="309" spans="1:12" ht="35.5" customHeight="1" x14ac:dyDescent="0.35">
      <c r="A309" s="41"/>
      <c r="B309" s="42"/>
      <c r="C309" s="43"/>
      <c r="D309" s="44"/>
      <c r="E309" s="49"/>
      <c r="F309" s="49"/>
      <c r="G309" s="49"/>
      <c r="H309" s="49"/>
      <c r="I309" s="49"/>
      <c r="J309" s="49"/>
      <c r="K309" s="49"/>
      <c r="L309" s="44"/>
    </row>
    <row r="310" spans="1:12" ht="35.5" customHeight="1" x14ac:dyDescent="0.35">
      <c r="A310" s="36"/>
      <c r="B310" s="37"/>
      <c r="C310" s="38"/>
      <c r="D310" s="39"/>
      <c r="E310" s="48"/>
      <c r="F310" s="48"/>
      <c r="G310" s="48"/>
      <c r="H310" s="48"/>
      <c r="I310" s="48"/>
      <c r="J310" s="48"/>
      <c r="K310" s="48"/>
      <c r="L310" s="39"/>
    </row>
    <row r="311" spans="1:12" ht="35.5" customHeight="1" x14ac:dyDescent="0.35">
      <c r="A311" s="41"/>
      <c r="B311" s="42"/>
      <c r="C311" s="43"/>
      <c r="D311" s="44"/>
      <c r="E311" s="49"/>
      <c r="F311" s="49"/>
      <c r="G311" s="49"/>
      <c r="H311" s="49"/>
      <c r="I311" s="49"/>
      <c r="J311" s="49"/>
      <c r="K311" s="49"/>
      <c r="L311" s="44"/>
    </row>
    <row r="312" spans="1:12" ht="35.5" customHeight="1" x14ac:dyDescent="0.35">
      <c r="A312" s="36"/>
      <c r="B312" s="37"/>
      <c r="C312" s="38"/>
      <c r="D312" s="39"/>
      <c r="E312" s="48"/>
      <c r="F312" s="48"/>
      <c r="G312" s="48"/>
      <c r="H312" s="48"/>
      <c r="I312" s="48"/>
      <c r="J312" s="48"/>
      <c r="K312" s="48"/>
      <c r="L312" s="39"/>
    </row>
    <row r="313" spans="1:12" ht="35.5" customHeight="1" x14ac:dyDescent="0.35">
      <c r="A313" s="41"/>
      <c r="B313" s="42"/>
      <c r="C313" s="43"/>
      <c r="D313" s="44"/>
      <c r="E313" s="49"/>
      <c r="F313" s="49"/>
      <c r="G313" s="49"/>
      <c r="H313" s="49"/>
      <c r="I313" s="49"/>
      <c r="J313" s="49"/>
      <c r="K313" s="49"/>
      <c r="L313" s="44"/>
    </row>
    <row r="314" spans="1:12" ht="35.5" customHeight="1" x14ac:dyDescent="0.35">
      <c r="A314" s="36"/>
      <c r="B314" s="37"/>
      <c r="C314" s="38"/>
      <c r="D314" s="39"/>
      <c r="E314" s="48"/>
      <c r="F314" s="48"/>
      <c r="G314" s="48"/>
      <c r="H314" s="48"/>
      <c r="I314" s="48"/>
      <c r="J314" s="48"/>
      <c r="K314" s="48"/>
      <c r="L314" s="39"/>
    </row>
    <row r="315" spans="1:12" ht="35.5" customHeight="1" x14ac:dyDescent="0.35">
      <c r="A315" s="41"/>
      <c r="B315" s="42"/>
      <c r="C315" s="43"/>
      <c r="D315" s="44"/>
      <c r="E315" s="49"/>
      <c r="F315" s="49"/>
      <c r="G315" s="49"/>
      <c r="H315" s="49"/>
      <c r="I315" s="49"/>
      <c r="J315" s="49"/>
      <c r="K315" s="49"/>
      <c r="L315" s="44"/>
    </row>
    <row r="316" spans="1:12" ht="35.5" customHeight="1" x14ac:dyDescent="0.35">
      <c r="A316" s="36"/>
      <c r="B316" s="37"/>
      <c r="C316" s="38"/>
      <c r="D316" s="39"/>
      <c r="E316" s="48"/>
      <c r="F316" s="48"/>
      <c r="G316" s="48"/>
      <c r="H316" s="48"/>
      <c r="I316" s="48"/>
      <c r="J316" s="48"/>
      <c r="K316" s="48"/>
      <c r="L316" s="39"/>
    </row>
    <row r="317" spans="1:12" ht="35.5" customHeight="1" x14ac:dyDescent="0.35">
      <c r="A317" s="41"/>
      <c r="B317" s="42"/>
      <c r="C317" s="43"/>
      <c r="D317" s="44"/>
      <c r="E317" s="49"/>
      <c r="F317" s="49"/>
      <c r="G317" s="49"/>
      <c r="H317" s="49"/>
      <c r="I317" s="49"/>
      <c r="J317" s="49"/>
      <c r="K317" s="49"/>
      <c r="L317" s="44"/>
    </row>
    <row r="318" spans="1:12" ht="35.5" customHeight="1" x14ac:dyDescent="0.35">
      <c r="A318" s="36"/>
      <c r="B318" s="37"/>
      <c r="C318" s="38"/>
      <c r="D318" s="39"/>
      <c r="E318" s="48"/>
      <c r="F318" s="48"/>
      <c r="G318" s="48"/>
      <c r="H318" s="48"/>
      <c r="I318" s="48"/>
      <c r="J318" s="48"/>
      <c r="K318" s="48"/>
      <c r="L318" s="39"/>
    </row>
    <row r="319" spans="1:12" ht="35.5" customHeight="1" x14ac:dyDescent="0.35">
      <c r="A319" s="41"/>
      <c r="B319" s="42"/>
      <c r="C319" s="43"/>
      <c r="D319" s="44"/>
      <c r="E319" s="49"/>
      <c r="F319" s="49"/>
      <c r="G319" s="49"/>
      <c r="H319" s="49"/>
      <c r="I319" s="49"/>
      <c r="J319" s="49"/>
      <c r="K319" s="49"/>
      <c r="L319" s="44"/>
    </row>
    <row r="320" spans="1:12" ht="35.5" customHeight="1" x14ac:dyDescent="0.35">
      <c r="A320" s="36"/>
      <c r="B320" s="37"/>
      <c r="C320" s="38"/>
      <c r="D320" s="39"/>
      <c r="E320" s="48"/>
      <c r="F320" s="48"/>
      <c r="G320" s="48"/>
      <c r="H320" s="48"/>
      <c r="I320" s="48"/>
      <c r="J320" s="48"/>
      <c r="K320" s="48"/>
      <c r="L320" s="39"/>
    </row>
    <row r="321" spans="1:12" ht="35.5" customHeight="1" x14ac:dyDescent="0.35">
      <c r="A321" s="41"/>
      <c r="B321" s="42"/>
      <c r="C321" s="43"/>
      <c r="D321" s="44"/>
      <c r="E321" s="49"/>
      <c r="F321" s="49"/>
      <c r="G321" s="49"/>
      <c r="H321" s="49"/>
      <c r="I321" s="49"/>
      <c r="J321" s="49"/>
      <c r="K321" s="49"/>
      <c r="L321" s="44"/>
    </row>
    <row r="322" spans="1:12" ht="35.5" customHeight="1" x14ac:dyDescent="0.35">
      <c r="A322" s="36"/>
      <c r="B322" s="37"/>
      <c r="C322" s="38"/>
      <c r="D322" s="39"/>
      <c r="E322" s="48"/>
      <c r="F322" s="48"/>
      <c r="G322" s="48"/>
      <c r="H322" s="48"/>
      <c r="I322" s="48"/>
      <c r="J322" s="48"/>
      <c r="K322" s="48"/>
      <c r="L322" s="39"/>
    </row>
    <row r="323" spans="1:12" ht="35.5" customHeight="1" x14ac:dyDescent="0.35">
      <c r="A323" s="41"/>
      <c r="B323" s="42"/>
      <c r="C323" s="43"/>
      <c r="D323" s="44"/>
      <c r="E323" s="49"/>
      <c r="F323" s="49"/>
      <c r="G323" s="49"/>
      <c r="H323" s="49"/>
      <c r="I323" s="49"/>
      <c r="J323" s="49"/>
      <c r="K323" s="49"/>
      <c r="L323" s="44"/>
    </row>
    <row r="324" spans="1:12" ht="35.5" customHeight="1" x14ac:dyDescent="0.35">
      <c r="A324" s="36"/>
      <c r="B324" s="37"/>
      <c r="C324" s="38"/>
      <c r="D324" s="39"/>
      <c r="E324" s="48"/>
      <c r="F324" s="48"/>
      <c r="G324" s="48"/>
      <c r="H324" s="48"/>
      <c r="I324" s="48"/>
      <c r="J324" s="48"/>
      <c r="K324" s="48"/>
      <c r="L324" s="39"/>
    </row>
    <row r="325" spans="1:12" ht="35.5" customHeight="1" x14ac:dyDescent="0.35">
      <c r="A325" s="41"/>
      <c r="B325" s="42"/>
      <c r="C325" s="43"/>
      <c r="D325" s="44"/>
      <c r="E325" s="49"/>
      <c r="F325" s="49"/>
      <c r="G325" s="49"/>
      <c r="H325" s="49"/>
      <c r="I325" s="49"/>
      <c r="J325" s="49"/>
      <c r="K325" s="49"/>
      <c r="L325" s="44"/>
    </row>
    <row r="326" spans="1:12" ht="35.5" customHeight="1" x14ac:dyDescent="0.35">
      <c r="A326" s="36"/>
      <c r="B326" s="37"/>
      <c r="C326" s="38"/>
      <c r="D326" s="39"/>
      <c r="E326" s="48"/>
      <c r="F326" s="48"/>
      <c r="G326" s="48"/>
      <c r="H326" s="48"/>
      <c r="I326" s="48"/>
      <c r="J326" s="48"/>
      <c r="K326" s="48"/>
      <c r="L326" s="39"/>
    </row>
    <row r="327" spans="1:12" ht="35.5" customHeight="1" x14ac:dyDescent="0.35">
      <c r="A327" s="41"/>
      <c r="B327" s="42"/>
      <c r="C327" s="43"/>
      <c r="D327" s="44"/>
      <c r="E327" s="49"/>
      <c r="F327" s="49"/>
      <c r="G327" s="49"/>
      <c r="H327" s="49"/>
      <c r="I327" s="49"/>
      <c r="J327" s="49"/>
      <c r="K327" s="49"/>
      <c r="L327" s="44"/>
    </row>
    <row r="328" spans="1:12" ht="35.5" customHeight="1" x14ac:dyDescent="0.35">
      <c r="A328" s="36"/>
      <c r="B328" s="37"/>
      <c r="C328" s="38"/>
      <c r="D328" s="39"/>
      <c r="E328" s="48"/>
      <c r="F328" s="48"/>
      <c r="G328" s="48"/>
      <c r="H328" s="48"/>
      <c r="I328" s="48"/>
      <c r="J328" s="48"/>
      <c r="K328" s="48"/>
      <c r="L328" s="39"/>
    </row>
    <row r="329" spans="1:12" ht="35.5" customHeight="1" x14ac:dyDescent="0.35">
      <c r="A329" s="41"/>
      <c r="B329" s="42"/>
      <c r="C329" s="43"/>
      <c r="D329" s="44"/>
      <c r="E329" s="49"/>
      <c r="F329" s="49"/>
      <c r="G329" s="49"/>
      <c r="H329" s="49"/>
      <c r="I329" s="49"/>
      <c r="J329" s="49"/>
      <c r="K329" s="49"/>
      <c r="L329" s="44"/>
    </row>
    <row r="330" spans="1:12" ht="35.5" customHeight="1" x14ac:dyDescent="0.35">
      <c r="A330" s="36"/>
      <c r="B330" s="37"/>
      <c r="C330" s="38"/>
      <c r="D330" s="39"/>
      <c r="E330" s="48"/>
      <c r="F330" s="48"/>
      <c r="G330" s="48"/>
      <c r="H330" s="48"/>
      <c r="I330" s="48"/>
      <c r="J330" s="48"/>
      <c r="K330" s="48"/>
      <c r="L330" s="39"/>
    </row>
    <row r="331" spans="1:12" ht="35.5" customHeight="1" x14ac:dyDescent="0.35">
      <c r="A331" s="41"/>
      <c r="B331" s="42"/>
      <c r="C331" s="43"/>
      <c r="D331" s="44"/>
      <c r="E331" s="49"/>
      <c r="F331" s="49"/>
      <c r="G331" s="49"/>
      <c r="H331" s="49"/>
      <c r="I331" s="49"/>
      <c r="J331" s="49"/>
      <c r="K331" s="49"/>
      <c r="L331" s="44"/>
    </row>
    <row r="332" spans="1:12" ht="35.5" customHeight="1" x14ac:dyDescent="0.35">
      <c r="A332" s="36"/>
      <c r="B332" s="37"/>
      <c r="C332" s="38"/>
      <c r="D332" s="39"/>
      <c r="E332" s="48"/>
      <c r="F332" s="48"/>
      <c r="G332" s="48"/>
      <c r="H332" s="48"/>
      <c r="I332" s="48"/>
      <c r="J332" s="48"/>
      <c r="K332" s="48"/>
      <c r="L332" s="39"/>
    </row>
    <row r="333" spans="1:12" ht="35.5" customHeight="1" x14ac:dyDescent="0.35">
      <c r="A333" s="41"/>
      <c r="B333" s="42"/>
      <c r="C333" s="43"/>
      <c r="D333" s="44"/>
      <c r="E333" s="49"/>
      <c r="F333" s="49"/>
      <c r="G333" s="49"/>
      <c r="H333" s="49"/>
      <c r="I333" s="49"/>
      <c r="J333" s="49"/>
      <c r="K333" s="49"/>
      <c r="L333" s="44"/>
    </row>
    <row r="334" spans="1:12" ht="35.5" customHeight="1" x14ac:dyDescent="0.35">
      <c r="A334" s="36"/>
      <c r="B334" s="37"/>
      <c r="C334" s="38"/>
      <c r="D334" s="39"/>
      <c r="E334" s="48"/>
      <c r="F334" s="48"/>
      <c r="G334" s="48"/>
      <c r="H334" s="48"/>
      <c r="I334" s="48"/>
      <c r="J334" s="48"/>
      <c r="K334" s="48"/>
      <c r="L334" s="39"/>
    </row>
    <row r="335" spans="1:12" ht="35.5" customHeight="1" x14ac:dyDescent="0.35">
      <c r="A335" s="41"/>
      <c r="B335" s="42"/>
      <c r="C335" s="43"/>
      <c r="D335" s="44"/>
      <c r="E335" s="49"/>
      <c r="F335" s="49"/>
      <c r="G335" s="49"/>
      <c r="H335" s="49"/>
      <c r="I335" s="49"/>
      <c r="J335" s="49"/>
      <c r="K335" s="49"/>
      <c r="L335" s="44"/>
    </row>
    <row r="336" spans="1:12" ht="35.5" customHeight="1" x14ac:dyDescent="0.35">
      <c r="A336" s="36"/>
      <c r="B336" s="37"/>
      <c r="C336" s="38"/>
      <c r="D336" s="39"/>
      <c r="E336" s="48"/>
      <c r="F336" s="48"/>
      <c r="G336" s="48"/>
      <c r="H336" s="48"/>
      <c r="I336" s="48"/>
      <c r="J336" s="48"/>
      <c r="K336" s="48"/>
      <c r="L336" s="39"/>
    </row>
    <row r="337" spans="1:12" ht="35.5" customHeight="1" x14ac:dyDescent="0.35">
      <c r="A337" s="41"/>
      <c r="B337" s="42"/>
      <c r="C337" s="43"/>
      <c r="D337" s="44"/>
      <c r="E337" s="49"/>
      <c r="F337" s="49"/>
      <c r="G337" s="49"/>
      <c r="H337" s="49"/>
      <c r="I337" s="49"/>
      <c r="J337" s="49"/>
      <c r="K337" s="49"/>
      <c r="L337" s="44"/>
    </row>
    <row r="338" spans="1:12" ht="35.5" customHeight="1" x14ac:dyDescent="0.35">
      <c r="A338" s="36"/>
      <c r="B338" s="37"/>
      <c r="C338" s="38"/>
      <c r="D338" s="39"/>
      <c r="E338" s="48"/>
      <c r="F338" s="48"/>
      <c r="G338" s="48"/>
      <c r="H338" s="48"/>
      <c r="I338" s="48"/>
      <c r="J338" s="48"/>
      <c r="K338" s="48"/>
      <c r="L338" s="39"/>
    </row>
    <row r="339" spans="1:12" ht="35.5" customHeight="1" x14ac:dyDescent="0.35">
      <c r="A339" s="41"/>
      <c r="B339" s="42"/>
      <c r="C339" s="43"/>
      <c r="D339" s="44"/>
      <c r="E339" s="49"/>
      <c r="F339" s="49"/>
      <c r="G339" s="49"/>
      <c r="H339" s="49"/>
      <c r="I339" s="49"/>
      <c r="J339" s="49"/>
      <c r="K339" s="49"/>
      <c r="L339" s="44"/>
    </row>
    <row r="340" spans="1:12" ht="35.5" customHeight="1" x14ac:dyDescent="0.35">
      <c r="A340" s="36"/>
      <c r="B340" s="37"/>
      <c r="C340" s="38"/>
      <c r="D340" s="39"/>
      <c r="E340" s="48"/>
      <c r="F340" s="48"/>
      <c r="G340" s="48"/>
      <c r="H340" s="48"/>
      <c r="I340" s="48"/>
      <c r="J340" s="48"/>
      <c r="K340" s="48"/>
      <c r="L340" s="39"/>
    </row>
    <row r="341" spans="1:12" ht="35.5" customHeight="1" x14ac:dyDescent="0.35">
      <c r="A341" s="41"/>
      <c r="B341" s="42"/>
      <c r="C341" s="43"/>
      <c r="D341" s="44"/>
      <c r="E341" s="49"/>
      <c r="F341" s="49"/>
      <c r="G341" s="49"/>
      <c r="H341" s="49"/>
      <c r="I341" s="49"/>
      <c r="J341" s="49"/>
      <c r="K341" s="49"/>
      <c r="L341" s="44"/>
    </row>
    <row r="342" spans="1:12" ht="35.5" customHeight="1" x14ac:dyDescent="0.35">
      <c r="A342" s="36"/>
      <c r="B342" s="37"/>
      <c r="C342" s="38"/>
      <c r="D342" s="39"/>
      <c r="E342" s="48"/>
      <c r="F342" s="48"/>
      <c r="G342" s="48"/>
      <c r="H342" s="48"/>
      <c r="I342" s="48"/>
      <c r="J342" s="48"/>
      <c r="K342" s="48"/>
      <c r="L342" s="39"/>
    </row>
    <row r="343" spans="1:12" ht="35.5" customHeight="1" x14ac:dyDescent="0.35">
      <c r="A343" s="41"/>
      <c r="B343" s="42"/>
      <c r="C343" s="43"/>
      <c r="D343" s="44"/>
      <c r="E343" s="49"/>
      <c r="F343" s="49"/>
      <c r="G343" s="49"/>
      <c r="H343" s="49"/>
      <c r="I343" s="49"/>
      <c r="J343" s="49"/>
      <c r="K343" s="49"/>
      <c r="L343" s="44"/>
    </row>
    <row r="344" spans="1:12" ht="35.5" customHeight="1" x14ac:dyDescent="0.35">
      <c r="A344" s="36"/>
      <c r="B344" s="37"/>
      <c r="C344" s="38"/>
      <c r="D344" s="39"/>
      <c r="E344" s="48"/>
      <c r="F344" s="48"/>
      <c r="G344" s="48"/>
      <c r="H344" s="48"/>
      <c r="I344" s="48"/>
      <c r="J344" s="48"/>
      <c r="K344" s="48"/>
      <c r="L344" s="39"/>
    </row>
    <row r="345" spans="1:12" ht="35.5" customHeight="1" x14ac:dyDescent="0.35">
      <c r="A345" s="41"/>
      <c r="B345" s="42"/>
      <c r="C345" s="43"/>
      <c r="D345" s="44"/>
      <c r="E345" s="49"/>
      <c r="F345" s="49"/>
      <c r="G345" s="49"/>
      <c r="H345" s="49"/>
      <c r="I345" s="49"/>
      <c r="J345" s="49"/>
      <c r="K345" s="49"/>
      <c r="L345" s="44"/>
    </row>
    <row r="346" spans="1:12" ht="35.5" customHeight="1" x14ac:dyDescent="0.35">
      <c r="A346" s="36"/>
      <c r="B346" s="37"/>
      <c r="C346" s="38"/>
      <c r="D346" s="39"/>
      <c r="E346" s="48"/>
      <c r="F346" s="48"/>
      <c r="G346" s="48"/>
      <c r="H346" s="48"/>
      <c r="I346" s="48"/>
      <c r="J346" s="48"/>
      <c r="K346" s="48"/>
      <c r="L346" s="39"/>
    </row>
    <row r="347" spans="1:12" ht="35.5" customHeight="1" x14ac:dyDescent="0.35">
      <c r="A347" s="41"/>
      <c r="B347" s="42"/>
      <c r="C347" s="43"/>
      <c r="D347" s="44"/>
      <c r="E347" s="49"/>
      <c r="F347" s="49"/>
      <c r="G347" s="49"/>
      <c r="H347" s="49"/>
      <c r="I347" s="49"/>
      <c r="J347" s="49"/>
      <c r="K347" s="49"/>
      <c r="L347" s="44"/>
    </row>
    <row r="348" spans="1:12" ht="35.5" customHeight="1" x14ac:dyDescent="0.35">
      <c r="A348" s="36"/>
      <c r="B348" s="37"/>
      <c r="C348" s="38"/>
      <c r="D348" s="39"/>
      <c r="E348" s="48"/>
      <c r="F348" s="48"/>
      <c r="G348" s="48"/>
      <c r="H348" s="48"/>
      <c r="I348" s="48"/>
      <c r="J348" s="48"/>
      <c r="K348" s="48"/>
      <c r="L348" s="39"/>
    </row>
    <row r="349" spans="1:12" ht="35.5" customHeight="1" x14ac:dyDescent="0.35">
      <c r="A349" s="41"/>
      <c r="B349" s="42"/>
      <c r="C349" s="43"/>
      <c r="D349" s="44"/>
      <c r="E349" s="49"/>
      <c r="F349" s="49"/>
      <c r="G349" s="49"/>
      <c r="H349" s="49"/>
      <c r="I349" s="49"/>
      <c r="J349" s="49"/>
      <c r="K349" s="49"/>
      <c r="L349" s="44"/>
    </row>
    <row r="350" spans="1:12" ht="35.5" customHeight="1" x14ac:dyDescent="0.35">
      <c r="A350" s="36"/>
      <c r="B350" s="37"/>
      <c r="C350" s="38"/>
      <c r="D350" s="39"/>
      <c r="E350" s="48"/>
      <c r="F350" s="48"/>
      <c r="G350" s="48"/>
      <c r="H350" s="48"/>
      <c r="I350" s="48"/>
      <c r="J350" s="48"/>
      <c r="K350" s="48"/>
      <c r="L350" s="39"/>
    </row>
    <row r="351" spans="1:12" ht="35.5" customHeight="1" x14ac:dyDescent="0.35">
      <c r="A351" s="41"/>
      <c r="B351" s="42"/>
      <c r="C351" s="43"/>
      <c r="D351" s="44"/>
      <c r="E351" s="49"/>
      <c r="F351" s="49"/>
      <c r="G351" s="49"/>
      <c r="H351" s="49"/>
      <c r="I351" s="49"/>
      <c r="J351" s="49"/>
      <c r="K351" s="49"/>
      <c r="L351" s="44"/>
    </row>
    <row r="352" spans="1:12" ht="35.5" customHeight="1" x14ac:dyDescent="0.35">
      <c r="A352" s="36"/>
      <c r="B352" s="37"/>
      <c r="C352" s="38"/>
      <c r="D352" s="39"/>
      <c r="E352" s="48"/>
      <c r="F352" s="48"/>
      <c r="G352" s="48"/>
      <c r="H352" s="48"/>
      <c r="I352" s="48"/>
      <c r="J352" s="48"/>
      <c r="K352" s="48"/>
      <c r="L352" s="39"/>
    </row>
    <row r="353" spans="1:12" ht="35.5" customHeight="1" x14ac:dyDescent="0.35">
      <c r="A353" s="41"/>
      <c r="B353" s="42"/>
      <c r="C353" s="43"/>
      <c r="D353" s="44"/>
      <c r="E353" s="49"/>
      <c r="F353" s="49"/>
      <c r="G353" s="49"/>
      <c r="H353" s="49"/>
      <c r="I353" s="49"/>
      <c r="J353" s="49"/>
      <c r="K353" s="49"/>
      <c r="L353" s="44"/>
    </row>
    <row r="354" spans="1:12" ht="35.5" customHeight="1" x14ac:dyDescent="0.35">
      <c r="A354" s="36"/>
      <c r="B354" s="37"/>
      <c r="C354" s="38"/>
      <c r="D354" s="39"/>
      <c r="E354" s="48"/>
      <c r="F354" s="48"/>
      <c r="G354" s="48"/>
      <c r="H354" s="48"/>
      <c r="I354" s="48"/>
      <c r="J354" s="48"/>
      <c r="K354" s="48"/>
      <c r="L354" s="39"/>
    </row>
    <row r="355" spans="1:12" ht="35.5" customHeight="1" x14ac:dyDescent="0.35">
      <c r="A355" s="41"/>
      <c r="B355" s="42"/>
      <c r="C355" s="43"/>
      <c r="D355" s="44"/>
      <c r="E355" s="49"/>
      <c r="F355" s="49"/>
      <c r="G355" s="49"/>
      <c r="H355" s="49"/>
      <c r="I355" s="49"/>
      <c r="J355" s="49"/>
      <c r="K355" s="49"/>
      <c r="L355" s="44"/>
    </row>
    <row r="356" spans="1:12" ht="35.5" customHeight="1" x14ac:dyDescent="0.35">
      <c r="A356" s="36"/>
      <c r="B356" s="37"/>
      <c r="C356" s="38"/>
      <c r="D356" s="39"/>
      <c r="E356" s="48"/>
      <c r="F356" s="48"/>
      <c r="G356" s="48"/>
      <c r="H356" s="48"/>
      <c r="I356" s="48"/>
      <c r="J356" s="48"/>
      <c r="K356" s="48"/>
      <c r="L356" s="39"/>
    </row>
    <row r="357" spans="1:12" ht="35.5" customHeight="1" x14ac:dyDescent="0.35">
      <c r="A357" s="41"/>
      <c r="B357" s="42"/>
      <c r="C357" s="43"/>
      <c r="D357" s="44"/>
      <c r="E357" s="49"/>
      <c r="F357" s="49"/>
      <c r="G357" s="49"/>
      <c r="H357" s="49"/>
      <c r="I357" s="49"/>
      <c r="J357" s="49"/>
      <c r="K357" s="49"/>
      <c r="L357" s="44"/>
    </row>
    <row r="358" spans="1:12" ht="35.5" customHeight="1" x14ac:dyDescent="0.35">
      <c r="A358" s="36"/>
      <c r="B358" s="37"/>
      <c r="C358" s="38"/>
      <c r="D358" s="39"/>
      <c r="E358" s="48"/>
      <c r="F358" s="48"/>
      <c r="G358" s="48"/>
      <c r="H358" s="48"/>
      <c r="I358" s="48"/>
      <c r="J358" s="48"/>
      <c r="K358" s="48"/>
      <c r="L358" s="39"/>
    </row>
    <row r="359" spans="1:12" ht="35.5" customHeight="1" x14ac:dyDescent="0.35">
      <c r="A359" s="41"/>
      <c r="B359" s="42"/>
      <c r="C359" s="43"/>
      <c r="D359" s="44"/>
      <c r="E359" s="49"/>
      <c r="F359" s="49"/>
      <c r="G359" s="49"/>
      <c r="H359" s="49"/>
      <c r="I359" s="49"/>
      <c r="J359" s="49"/>
      <c r="K359" s="49"/>
      <c r="L359" s="44"/>
    </row>
    <row r="360" spans="1:12" ht="35.5" customHeight="1" x14ac:dyDescent="0.35">
      <c r="A360" s="36"/>
      <c r="B360" s="37"/>
      <c r="C360" s="38"/>
      <c r="D360" s="39"/>
      <c r="E360" s="48"/>
      <c r="F360" s="48"/>
      <c r="G360" s="48"/>
      <c r="H360" s="48"/>
      <c r="I360" s="48"/>
      <c r="J360" s="48"/>
      <c r="K360" s="48"/>
      <c r="L360" s="39"/>
    </row>
    <row r="361" spans="1:12" ht="35.5" customHeight="1" x14ac:dyDescent="0.35">
      <c r="A361" s="41"/>
      <c r="B361" s="42"/>
      <c r="C361" s="43"/>
      <c r="D361" s="44"/>
      <c r="E361" s="49"/>
      <c r="F361" s="49"/>
      <c r="G361" s="49"/>
      <c r="H361" s="49"/>
      <c r="I361" s="49"/>
      <c r="J361" s="49"/>
      <c r="K361" s="49"/>
      <c r="L361" s="44"/>
    </row>
    <row r="362" spans="1:12" ht="35.5" customHeight="1" x14ac:dyDescent="0.35">
      <c r="A362" s="36"/>
      <c r="B362" s="37"/>
      <c r="C362" s="38"/>
      <c r="D362" s="39"/>
      <c r="E362" s="48"/>
      <c r="F362" s="48"/>
      <c r="G362" s="48"/>
      <c r="H362" s="48"/>
      <c r="I362" s="48"/>
      <c r="J362" s="48"/>
      <c r="K362" s="48"/>
      <c r="L362" s="39"/>
    </row>
    <row r="363" spans="1:12" ht="35.5" customHeight="1" x14ac:dyDescent="0.35">
      <c r="A363" s="41"/>
      <c r="B363" s="42"/>
      <c r="C363" s="43"/>
      <c r="D363" s="44"/>
      <c r="E363" s="49"/>
      <c r="F363" s="49"/>
      <c r="G363" s="49"/>
      <c r="H363" s="49"/>
      <c r="I363" s="49"/>
      <c r="J363" s="49"/>
      <c r="K363" s="49"/>
      <c r="L363" s="44"/>
    </row>
    <row r="364" spans="1:12" ht="35.5" customHeight="1" x14ac:dyDescent="0.35">
      <c r="A364" s="36"/>
      <c r="B364" s="37"/>
      <c r="C364" s="38"/>
      <c r="D364" s="39"/>
      <c r="E364" s="48"/>
      <c r="F364" s="48"/>
      <c r="G364" s="48"/>
      <c r="H364" s="48"/>
      <c r="I364" s="48"/>
      <c r="J364" s="48"/>
      <c r="K364" s="48"/>
      <c r="L364" s="39"/>
    </row>
    <row r="365" spans="1:12" ht="35.5" customHeight="1" x14ac:dyDescent="0.35">
      <c r="A365" s="41"/>
      <c r="B365" s="42"/>
      <c r="C365" s="43"/>
      <c r="D365" s="44"/>
      <c r="E365" s="49"/>
      <c r="F365" s="49"/>
      <c r="G365" s="49"/>
      <c r="H365" s="49"/>
      <c r="I365" s="49"/>
      <c r="J365" s="49"/>
      <c r="K365" s="49"/>
      <c r="L365" s="44"/>
    </row>
    <row r="366" spans="1:12" ht="35.5" customHeight="1" x14ac:dyDescent="0.35">
      <c r="A366" s="36"/>
      <c r="B366" s="37"/>
      <c r="C366" s="38"/>
      <c r="D366" s="39"/>
      <c r="E366" s="48"/>
      <c r="F366" s="48"/>
      <c r="G366" s="48"/>
      <c r="H366" s="48"/>
      <c r="I366" s="48"/>
      <c r="J366" s="48"/>
      <c r="K366" s="48"/>
      <c r="L366" s="39"/>
    </row>
    <row r="367" spans="1:12" ht="35.5" customHeight="1" x14ac:dyDescent="0.35">
      <c r="A367" s="41"/>
      <c r="B367" s="42"/>
      <c r="C367" s="43"/>
      <c r="D367" s="44"/>
      <c r="E367" s="49"/>
      <c r="F367" s="49"/>
      <c r="G367" s="49"/>
      <c r="H367" s="49"/>
      <c r="I367" s="49"/>
      <c r="J367" s="49"/>
      <c r="K367" s="49"/>
      <c r="L367" s="44"/>
    </row>
    <row r="368" spans="1:12" ht="35.5" customHeight="1" x14ac:dyDescent="0.35">
      <c r="A368" s="36"/>
      <c r="B368" s="37"/>
      <c r="C368" s="38"/>
      <c r="D368" s="39"/>
      <c r="E368" s="48"/>
      <c r="F368" s="48"/>
      <c r="G368" s="48"/>
      <c r="H368" s="48"/>
      <c r="I368" s="48"/>
      <c r="J368" s="48"/>
      <c r="K368" s="48"/>
      <c r="L368" s="39"/>
    </row>
    <row r="369" spans="1:12" ht="35.5" customHeight="1" x14ac:dyDescent="0.35">
      <c r="A369" s="41"/>
      <c r="B369" s="42"/>
      <c r="C369" s="43"/>
      <c r="D369" s="44"/>
      <c r="E369" s="49"/>
      <c r="F369" s="49"/>
      <c r="G369" s="49"/>
      <c r="H369" s="49"/>
      <c r="I369" s="49"/>
      <c r="J369" s="49"/>
      <c r="K369" s="49"/>
      <c r="L369" s="44"/>
    </row>
    <row r="370" spans="1:12" ht="35.5" customHeight="1" x14ac:dyDescent="0.35">
      <c r="A370" s="36"/>
      <c r="B370" s="37"/>
      <c r="C370" s="38"/>
      <c r="D370" s="39"/>
      <c r="E370" s="48"/>
      <c r="F370" s="48"/>
      <c r="G370" s="48"/>
      <c r="H370" s="48"/>
      <c r="I370" s="48"/>
      <c r="J370" s="48"/>
      <c r="K370" s="48"/>
      <c r="L370" s="39"/>
    </row>
    <row r="371" spans="1:12" ht="35.5" customHeight="1" x14ac:dyDescent="0.35">
      <c r="A371" s="41"/>
      <c r="B371" s="42"/>
      <c r="C371" s="43"/>
      <c r="D371" s="44"/>
      <c r="E371" s="49"/>
      <c r="F371" s="49"/>
      <c r="G371" s="49"/>
      <c r="H371" s="49"/>
      <c r="I371" s="49"/>
      <c r="J371" s="49"/>
      <c r="K371" s="49"/>
      <c r="L371" s="44"/>
    </row>
    <row r="372" spans="1:12" ht="35.5" customHeight="1" x14ac:dyDescent="0.35">
      <c r="A372" s="36"/>
      <c r="B372" s="37"/>
      <c r="C372" s="38"/>
      <c r="D372" s="39"/>
      <c r="E372" s="48"/>
      <c r="F372" s="48"/>
      <c r="G372" s="48"/>
      <c r="H372" s="48"/>
      <c r="I372" s="48"/>
      <c r="J372" s="48"/>
      <c r="K372" s="48"/>
      <c r="L372" s="39"/>
    </row>
    <row r="373" spans="1:12" ht="35.5" customHeight="1" x14ac:dyDescent="0.35">
      <c r="A373" s="41"/>
      <c r="B373" s="42"/>
      <c r="C373" s="43"/>
      <c r="D373" s="44"/>
      <c r="E373" s="49"/>
      <c r="F373" s="49"/>
      <c r="G373" s="49"/>
      <c r="H373" s="49"/>
      <c r="I373" s="49"/>
      <c r="J373" s="49"/>
      <c r="K373" s="49"/>
      <c r="L373" s="44"/>
    </row>
    <row r="374" spans="1:12" ht="35.5" customHeight="1" x14ac:dyDescent="0.35">
      <c r="A374" s="36"/>
      <c r="B374" s="37"/>
      <c r="C374" s="38"/>
      <c r="D374" s="39"/>
      <c r="E374" s="48"/>
      <c r="F374" s="48"/>
      <c r="G374" s="48"/>
      <c r="H374" s="48"/>
      <c r="I374" s="48"/>
      <c r="J374" s="48"/>
      <c r="K374" s="48"/>
      <c r="L374" s="39"/>
    </row>
    <row r="375" spans="1:12" ht="35.5" customHeight="1" x14ac:dyDescent="0.35">
      <c r="A375" s="41"/>
      <c r="B375" s="42"/>
      <c r="C375" s="43"/>
      <c r="D375" s="44"/>
      <c r="E375" s="49"/>
      <c r="F375" s="49"/>
      <c r="G375" s="49"/>
      <c r="H375" s="49"/>
      <c r="I375" s="49"/>
      <c r="J375" s="49"/>
      <c r="K375" s="49"/>
      <c r="L375" s="44"/>
    </row>
    <row r="376" spans="1:12" ht="35.5" customHeight="1" x14ac:dyDescent="0.35">
      <c r="A376" s="36"/>
      <c r="B376" s="37"/>
      <c r="C376" s="38"/>
      <c r="D376" s="39"/>
      <c r="E376" s="48"/>
      <c r="F376" s="48"/>
      <c r="G376" s="48"/>
      <c r="H376" s="48"/>
      <c r="I376" s="48"/>
      <c r="J376" s="48"/>
      <c r="K376" s="48"/>
      <c r="L376" s="39"/>
    </row>
    <row r="377" spans="1:12" ht="35.5" customHeight="1" x14ac:dyDescent="0.35">
      <c r="A377" s="41"/>
      <c r="B377" s="42"/>
      <c r="C377" s="43"/>
      <c r="D377" s="44"/>
      <c r="E377" s="49"/>
      <c r="F377" s="49"/>
      <c r="G377" s="49"/>
      <c r="H377" s="49"/>
      <c r="I377" s="49"/>
      <c r="J377" s="49"/>
      <c r="K377" s="49"/>
      <c r="L377" s="44"/>
    </row>
    <row r="378" spans="1:12" ht="35.5" customHeight="1" x14ac:dyDescent="0.35">
      <c r="A378" s="36"/>
      <c r="B378" s="37"/>
      <c r="C378" s="38"/>
      <c r="D378" s="39"/>
      <c r="E378" s="48"/>
      <c r="F378" s="48"/>
      <c r="G378" s="48"/>
      <c r="H378" s="48"/>
      <c r="I378" s="48"/>
      <c r="J378" s="48"/>
      <c r="K378" s="48"/>
      <c r="L378" s="39"/>
    </row>
    <row r="379" spans="1:12" ht="35.5" customHeight="1" x14ac:dyDescent="0.35">
      <c r="A379" s="41"/>
      <c r="B379" s="42"/>
      <c r="C379" s="43"/>
      <c r="D379" s="44"/>
      <c r="E379" s="49"/>
      <c r="F379" s="49"/>
      <c r="G379" s="49"/>
      <c r="H379" s="49"/>
      <c r="I379" s="49"/>
      <c r="J379" s="49"/>
      <c r="K379" s="49"/>
      <c r="L379" s="44"/>
    </row>
    <row r="380" spans="1:12" ht="35.5" customHeight="1" x14ac:dyDescent="0.35">
      <c r="A380" s="36"/>
      <c r="B380" s="37"/>
      <c r="C380" s="38"/>
      <c r="D380" s="39"/>
      <c r="E380" s="48"/>
      <c r="F380" s="48"/>
      <c r="G380" s="48"/>
      <c r="H380" s="48"/>
      <c r="I380" s="48"/>
      <c r="J380" s="48"/>
      <c r="K380" s="48"/>
      <c r="L380" s="39"/>
    </row>
    <row r="381" spans="1:12" ht="35.5" customHeight="1" x14ac:dyDescent="0.35">
      <c r="A381" s="41"/>
      <c r="B381" s="42"/>
      <c r="C381" s="43"/>
      <c r="D381" s="44"/>
      <c r="E381" s="49"/>
      <c r="F381" s="49"/>
      <c r="G381" s="49"/>
      <c r="H381" s="49"/>
      <c r="I381" s="49"/>
      <c r="J381" s="49"/>
      <c r="K381" s="49"/>
      <c r="L381" s="44"/>
    </row>
    <row r="382" spans="1:12" ht="35.5" customHeight="1" x14ac:dyDescent="0.35">
      <c r="A382" s="36"/>
      <c r="B382" s="37"/>
      <c r="C382" s="38"/>
      <c r="D382" s="39"/>
      <c r="E382" s="48"/>
      <c r="F382" s="48"/>
      <c r="G382" s="48"/>
      <c r="H382" s="48"/>
      <c r="I382" s="48"/>
      <c r="J382" s="48"/>
      <c r="K382" s="48"/>
      <c r="L382" s="39"/>
    </row>
    <row r="383" spans="1:12" ht="35.5" customHeight="1" x14ac:dyDescent="0.35">
      <c r="A383" s="41"/>
      <c r="B383" s="42"/>
      <c r="C383" s="43"/>
      <c r="D383" s="44"/>
      <c r="E383" s="49"/>
      <c r="F383" s="49"/>
      <c r="G383" s="49"/>
      <c r="H383" s="49"/>
      <c r="I383" s="49"/>
      <c r="J383" s="49"/>
      <c r="K383" s="49"/>
      <c r="L383" s="44"/>
    </row>
    <row r="384" spans="1:12" ht="35.5" customHeight="1" x14ac:dyDescent="0.35">
      <c r="A384" s="36"/>
      <c r="B384" s="37"/>
      <c r="C384" s="38"/>
      <c r="D384" s="39"/>
      <c r="E384" s="48"/>
      <c r="F384" s="48"/>
      <c r="G384" s="48"/>
      <c r="H384" s="48"/>
      <c r="I384" s="48"/>
      <c r="J384" s="48"/>
      <c r="K384" s="48"/>
      <c r="L384" s="39"/>
    </row>
    <row r="385" spans="1:12" ht="35.5" customHeight="1" x14ac:dyDescent="0.35">
      <c r="A385" s="41"/>
      <c r="B385" s="42"/>
      <c r="C385" s="43"/>
      <c r="D385" s="44"/>
      <c r="E385" s="49"/>
      <c r="F385" s="49"/>
      <c r="G385" s="49"/>
      <c r="H385" s="49"/>
      <c r="I385" s="49"/>
      <c r="J385" s="49"/>
      <c r="K385" s="49"/>
      <c r="L385" s="44"/>
    </row>
    <row r="386" spans="1:12" ht="35.5" customHeight="1" x14ac:dyDescent="0.35">
      <c r="A386" s="36"/>
      <c r="B386" s="37"/>
      <c r="C386" s="38"/>
      <c r="D386" s="39"/>
      <c r="E386" s="48"/>
      <c r="F386" s="48"/>
      <c r="G386" s="48"/>
      <c r="H386" s="48"/>
      <c r="I386" s="48"/>
      <c r="J386" s="48"/>
      <c r="K386" s="48"/>
      <c r="L386" s="39"/>
    </row>
    <row r="387" spans="1:12" ht="35.5" customHeight="1" x14ac:dyDescent="0.35">
      <c r="A387" s="41"/>
      <c r="B387" s="42"/>
      <c r="C387" s="43"/>
      <c r="D387" s="44"/>
      <c r="E387" s="49"/>
      <c r="F387" s="49"/>
      <c r="G387" s="49"/>
      <c r="H387" s="49"/>
      <c r="I387" s="49"/>
      <c r="J387" s="49"/>
      <c r="K387" s="49"/>
      <c r="L387" s="44"/>
    </row>
    <row r="388" spans="1:12" ht="35.5" customHeight="1" x14ac:dyDescent="0.35">
      <c r="A388" s="36"/>
      <c r="B388" s="37"/>
      <c r="C388" s="38"/>
      <c r="D388" s="39"/>
      <c r="E388" s="48"/>
      <c r="F388" s="48"/>
      <c r="G388" s="48"/>
      <c r="H388" s="48"/>
      <c r="I388" s="48"/>
      <c r="J388" s="48"/>
      <c r="K388" s="48"/>
      <c r="L388" s="39"/>
    </row>
    <row r="389" spans="1:12" ht="35.5" customHeight="1" x14ac:dyDescent="0.35">
      <c r="A389" s="41"/>
      <c r="B389" s="42"/>
      <c r="C389" s="43"/>
      <c r="D389" s="44"/>
      <c r="E389" s="49"/>
      <c r="F389" s="49"/>
      <c r="G389" s="49"/>
      <c r="H389" s="49"/>
      <c r="I389" s="49"/>
      <c r="J389" s="49"/>
      <c r="K389" s="49"/>
      <c r="L389" s="44"/>
    </row>
    <row r="390" spans="1:12" ht="35.5" customHeight="1" x14ac:dyDescent="0.35">
      <c r="A390" s="36"/>
      <c r="B390" s="37"/>
      <c r="C390" s="38"/>
      <c r="D390" s="39"/>
      <c r="E390" s="48"/>
      <c r="F390" s="48"/>
      <c r="G390" s="48"/>
      <c r="H390" s="48"/>
      <c r="I390" s="48"/>
      <c r="J390" s="48"/>
      <c r="K390" s="48"/>
      <c r="L390" s="39"/>
    </row>
    <row r="391" spans="1:12" ht="35.5" customHeight="1" x14ac:dyDescent="0.35">
      <c r="A391" s="41"/>
      <c r="B391" s="42"/>
      <c r="C391" s="43"/>
      <c r="D391" s="44"/>
      <c r="E391" s="49"/>
      <c r="F391" s="49"/>
      <c r="G391" s="49"/>
      <c r="H391" s="49"/>
      <c r="I391" s="49"/>
      <c r="J391" s="49"/>
      <c r="K391" s="49"/>
      <c r="L391" s="44"/>
    </row>
    <row r="392" spans="1:12" ht="35.5" customHeight="1" x14ac:dyDescent="0.35">
      <c r="A392" s="36"/>
      <c r="B392" s="37"/>
      <c r="C392" s="38"/>
      <c r="D392" s="39"/>
      <c r="E392" s="48"/>
      <c r="F392" s="48"/>
      <c r="G392" s="48"/>
      <c r="H392" s="48"/>
      <c r="I392" s="48"/>
      <c r="J392" s="48"/>
      <c r="K392" s="48"/>
      <c r="L392" s="39"/>
    </row>
    <row r="393" spans="1:12" ht="35.5" customHeight="1" x14ac:dyDescent="0.35">
      <c r="A393" s="41"/>
      <c r="B393" s="42"/>
      <c r="C393" s="43"/>
      <c r="D393" s="44"/>
      <c r="E393" s="49"/>
      <c r="F393" s="49"/>
      <c r="G393" s="49"/>
      <c r="H393" s="49"/>
      <c r="I393" s="49"/>
      <c r="J393" s="49"/>
      <c r="K393" s="49"/>
      <c r="L393" s="44"/>
    </row>
    <row r="394" spans="1:12" ht="35.5" customHeight="1" x14ac:dyDescent="0.35">
      <c r="A394" s="36"/>
      <c r="B394" s="37"/>
      <c r="C394" s="38"/>
      <c r="D394" s="39"/>
      <c r="E394" s="48"/>
      <c r="F394" s="48"/>
      <c r="G394" s="48"/>
      <c r="H394" s="48"/>
      <c r="I394" s="48"/>
      <c r="J394" s="48"/>
      <c r="K394" s="48"/>
      <c r="L394" s="39"/>
    </row>
    <row r="395" spans="1:12" ht="35.5" customHeight="1" x14ac:dyDescent="0.35">
      <c r="A395" s="41"/>
      <c r="B395" s="42"/>
      <c r="C395" s="43"/>
      <c r="D395" s="44"/>
      <c r="E395" s="49"/>
      <c r="F395" s="49"/>
      <c r="G395" s="49"/>
      <c r="H395" s="49"/>
      <c r="I395" s="49"/>
      <c r="J395" s="49"/>
      <c r="K395" s="49"/>
      <c r="L395" s="44"/>
    </row>
    <row r="396" spans="1:12" ht="35.5" customHeight="1" x14ac:dyDescent="0.35">
      <c r="A396" s="36"/>
      <c r="B396" s="37"/>
      <c r="C396" s="38"/>
      <c r="D396" s="39"/>
      <c r="E396" s="48"/>
      <c r="F396" s="48"/>
      <c r="G396" s="48"/>
      <c r="H396" s="48"/>
      <c r="I396" s="48"/>
      <c r="J396" s="48"/>
      <c r="K396" s="48"/>
      <c r="L396" s="39"/>
    </row>
    <row r="397" spans="1:12" ht="35.5" customHeight="1" x14ac:dyDescent="0.35">
      <c r="A397" s="41"/>
      <c r="B397" s="42"/>
      <c r="C397" s="43"/>
      <c r="D397" s="44"/>
      <c r="E397" s="49"/>
      <c r="F397" s="49"/>
      <c r="G397" s="49"/>
      <c r="H397" s="49"/>
      <c r="I397" s="49"/>
      <c r="J397" s="49"/>
      <c r="K397" s="49"/>
      <c r="L397" s="44"/>
    </row>
    <row r="398" spans="1:12" ht="35.5" customHeight="1" x14ac:dyDescent="0.35">
      <c r="A398" s="36"/>
      <c r="B398" s="37"/>
      <c r="C398" s="38"/>
      <c r="D398" s="39"/>
      <c r="E398" s="48"/>
      <c r="F398" s="48"/>
      <c r="G398" s="48"/>
      <c r="H398" s="48"/>
      <c r="I398" s="48"/>
      <c r="J398" s="48"/>
      <c r="K398" s="48"/>
      <c r="L398" s="39"/>
    </row>
    <row r="399" spans="1:12" ht="35.5" customHeight="1" x14ac:dyDescent="0.35">
      <c r="A399" s="41"/>
      <c r="B399" s="42"/>
      <c r="C399" s="43"/>
      <c r="D399" s="44"/>
      <c r="E399" s="49"/>
      <c r="F399" s="49"/>
      <c r="G399" s="49"/>
      <c r="H399" s="49"/>
      <c r="I399" s="49"/>
      <c r="J399" s="49"/>
      <c r="K399" s="49"/>
      <c r="L399" s="44"/>
    </row>
    <row r="400" spans="1:12" ht="35.5" customHeight="1" x14ac:dyDescent="0.35">
      <c r="A400" s="36"/>
      <c r="B400" s="37"/>
      <c r="C400" s="38"/>
      <c r="D400" s="39"/>
      <c r="E400" s="48"/>
      <c r="F400" s="48"/>
      <c r="G400" s="48"/>
      <c r="H400" s="48"/>
      <c r="I400" s="48"/>
      <c r="J400" s="48"/>
      <c r="K400" s="48"/>
      <c r="L400" s="39"/>
    </row>
    <row r="401" spans="1:12" ht="35.5" customHeight="1" x14ac:dyDescent="0.35">
      <c r="A401" s="41"/>
      <c r="B401" s="42"/>
      <c r="C401" s="43"/>
      <c r="D401" s="44"/>
      <c r="E401" s="49"/>
      <c r="F401" s="49"/>
      <c r="G401" s="49"/>
      <c r="H401" s="49"/>
      <c r="I401" s="49"/>
      <c r="J401" s="49"/>
      <c r="K401" s="49"/>
      <c r="L401" s="44"/>
    </row>
    <row r="402" spans="1:12" ht="35.5" customHeight="1" x14ac:dyDescent="0.35">
      <c r="A402" s="36"/>
      <c r="B402" s="37"/>
      <c r="C402" s="38"/>
      <c r="D402" s="39"/>
      <c r="E402" s="48"/>
      <c r="F402" s="48"/>
      <c r="G402" s="48"/>
      <c r="H402" s="48"/>
      <c r="I402" s="48"/>
      <c r="J402" s="48"/>
      <c r="K402" s="48"/>
      <c r="L402" s="39"/>
    </row>
    <row r="403" spans="1:12" ht="35.5" customHeight="1" x14ac:dyDescent="0.35">
      <c r="A403" s="41"/>
      <c r="B403" s="42"/>
      <c r="C403" s="43"/>
      <c r="D403" s="44"/>
      <c r="E403" s="49"/>
      <c r="F403" s="49"/>
      <c r="G403" s="49"/>
      <c r="H403" s="49"/>
      <c r="I403" s="49"/>
      <c r="J403" s="49"/>
      <c r="K403" s="49"/>
      <c r="L403" s="44"/>
    </row>
    <row r="404" spans="1:12" ht="35.5" customHeight="1" x14ac:dyDescent="0.35">
      <c r="A404" s="36"/>
      <c r="B404" s="37"/>
      <c r="C404" s="38"/>
      <c r="D404" s="39"/>
      <c r="E404" s="48"/>
      <c r="F404" s="48"/>
      <c r="G404" s="48"/>
      <c r="H404" s="48"/>
      <c r="I404" s="48"/>
      <c r="J404" s="48"/>
      <c r="K404" s="48"/>
      <c r="L404" s="39"/>
    </row>
    <row r="405" spans="1:12" ht="35.5" customHeight="1" x14ac:dyDescent="0.35">
      <c r="A405" s="41"/>
      <c r="B405" s="42"/>
      <c r="C405" s="43"/>
      <c r="D405" s="44"/>
      <c r="E405" s="49"/>
      <c r="F405" s="49"/>
      <c r="G405" s="49"/>
      <c r="H405" s="49"/>
      <c r="I405" s="49"/>
      <c r="J405" s="49"/>
      <c r="K405" s="49"/>
      <c r="L405" s="44"/>
    </row>
    <row r="406" spans="1:12" ht="35.5" customHeight="1" x14ac:dyDescent="0.35">
      <c r="A406" s="36"/>
      <c r="B406" s="37"/>
      <c r="C406" s="38"/>
      <c r="D406" s="39"/>
      <c r="E406" s="48"/>
      <c r="F406" s="48"/>
      <c r="G406" s="48"/>
      <c r="H406" s="48"/>
      <c r="I406" s="48"/>
      <c r="J406" s="48"/>
      <c r="K406" s="48"/>
      <c r="L406" s="39"/>
    </row>
    <row r="407" spans="1:12" ht="35.5" customHeight="1" x14ac:dyDescent="0.35">
      <c r="A407" s="41"/>
      <c r="B407" s="42"/>
      <c r="C407" s="43"/>
      <c r="D407" s="44"/>
      <c r="E407" s="49"/>
      <c r="F407" s="49"/>
      <c r="G407" s="49"/>
      <c r="H407" s="49"/>
      <c r="I407" s="49"/>
      <c r="J407" s="49"/>
      <c r="K407" s="49"/>
      <c r="L407" s="44"/>
    </row>
    <row r="408" spans="1:12" ht="35.5" customHeight="1" x14ac:dyDescent="0.35">
      <c r="A408" s="36"/>
      <c r="B408" s="37"/>
      <c r="C408" s="38"/>
      <c r="D408" s="39"/>
      <c r="E408" s="48"/>
      <c r="F408" s="48"/>
      <c r="G408" s="48"/>
      <c r="H408" s="48"/>
      <c r="I408" s="48"/>
      <c r="J408" s="48"/>
      <c r="K408" s="48"/>
      <c r="L408" s="39"/>
    </row>
    <row r="409" spans="1:12" ht="35.5" customHeight="1" x14ac:dyDescent="0.35">
      <c r="A409" s="41"/>
      <c r="B409" s="42"/>
      <c r="C409" s="43"/>
      <c r="D409" s="44"/>
      <c r="E409" s="49"/>
      <c r="F409" s="49"/>
      <c r="G409" s="49"/>
      <c r="H409" s="49"/>
      <c r="I409" s="49"/>
      <c r="J409" s="49"/>
      <c r="K409" s="49"/>
      <c r="L409" s="44"/>
    </row>
    <row r="410" spans="1:12" ht="35.5" customHeight="1" x14ac:dyDescent="0.35">
      <c r="A410" s="36"/>
      <c r="B410" s="37"/>
      <c r="C410" s="38"/>
      <c r="D410" s="39"/>
      <c r="E410" s="48"/>
      <c r="F410" s="48"/>
      <c r="G410" s="48"/>
      <c r="H410" s="48"/>
      <c r="I410" s="48"/>
      <c r="J410" s="48"/>
      <c r="K410" s="48"/>
      <c r="L410" s="39"/>
    </row>
    <row r="411" spans="1:12" ht="35.5" customHeight="1" x14ac:dyDescent="0.35">
      <c r="A411" s="41"/>
      <c r="B411" s="42"/>
      <c r="C411" s="43"/>
      <c r="D411" s="44"/>
      <c r="E411" s="49"/>
      <c r="F411" s="49"/>
      <c r="G411" s="49"/>
      <c r="H411" s="49"/>
      <c r="I411" s="49"/>
      <c r="J411" s="49"/>
      <c r="K411" s="49"/>
      <c r="L411" s="44"/>
    </row>
    <row r="412" spans="1:12" ht="35.5" customHeight="1" x14ac:dyDescent="0.35">
      <c r="A412" s="36"/>
      <c r="B412" s="37"/>
      <c r="C412" s="38"/>
      <c r="D412" s="39"/>
      <c r="E412" s="48"/>
      <c r="F412" s="48"/>
      <c r="G412" s="48"/>
      <c r="H412" s="48"/>
      <c r="I412" s="48"/>
      <c r="J412" s="48"/>
      <c r="K412" s="48"/>
      <c r="L412" s="39"/>
    </row>
    <row r="413" spans="1:12" ht="35.5" customHeight="1" x14ac:dyDescent="0.35">
      <c r="A413" s="41"/>
      <c r="B413" s="42"/>
      <c r="C413" s="43"/>
      <c r="D413" s="44"/>
      <c r="E413" s="49"/>
      <c r="F413" s="49"/>
      <c r="G413" s="49"/>
      <c r="H413" s="49"/>
      <c r="I413" s="49"/>
      <c r="J413" s="49"/>
      <c r="K413" s="49"/>
      <c r="L413" s="44"/>
    </row>
    <row r="414" spans="1:12" ht="35.5" customHeight="1" x14ac:dyDescent="0.35">
      <c r="A414" s="36"/>
      <c r="B414" s="37"/>
      <c r="C414" s="38"/>
      <c r="D414" s="39"/>
      <c r="E414" s="48"/>
      <c r="F414" s="48"/>
      <c r="G414" s="48"/>
      <c r="H414" s="48"/>
      <c r="I414" s="48"/>
      <c r="J414" s="48"/>
      <c r="K414" s="48"/>
      <c r="L414" s="39"/>
    </row>
    <row r="415" spans="1:12" ht="35.5" customHeight="1" x14ac:dyDescent="0.35">
      <c r="A415" s="41"/>
      <c r="B415" s="42"/>
      <c r="C415" s="43"/>
      <c r="D415" s="44"/>
      <c r="E415" s="49"/>
      <c r="F415" s="49"/>
      <c r="G415" s="49"/>
      <c r="H415" s="49"/>
      <c r="I415" s="49"/>
      <c r="J415" s="49"/>
      <c r="K415" s="49"/>
      <c r="L415" s="44"/>
    </row>
    <row r="416" spans="1:12" ht="35.5" customHeight="1" x14ac:dyDescent="0.35">
      <c r="A416" s="36"/>
      <c r="B416" s="37"/>
      <c r="C416" s="38"/>
      <c r="D416" s="39"/>
      <c r="E416" s="48"/>
      <c r="F416" s="48"/>
      <c r="G416" s="48"/>
      <c r="H416" s="48"/>
      <c r="I416" s="48"/>
      <c r="J416" s="48"/>
      <c r="K416" s="48"/>
      <c r="L416" s="39"/>
    </row>
    <row r="417" spans="1:12" ht="35.5" customHeight="1" x14ac:dyDescent="0.35">
      <c r="A417" s="41"/>
      <c r="B417" s="42"/>
      <c r="C417" s="43"/>
      <c r="D417" s="44"/>
      <c r="E417" s="49"/>
      <c r="F417" s="49"/>
      <c r="G417" s="49"/>
      <c r="H417" s="49"/>
      <c r="I417" s="49"/>
      <c r="J417" s="49"/>
      <c r="K417" s="49"/>
      <c r="L417" s="44"/>
    </row>
    <row r="418" spans="1:12" ht="35.5" customHeight="1" x14ac:dyDescent="0.35">
      <c r="A418" s="36"/>
      <c r="B418" s="37"/>
      <c r="C418" s="38"/>
      <c r="D418" s="39"/>
      <c r="E418" s="48"/>
      <c r="F418" s="48"/>
      <c r="G418" s="48"/>
      <c r="H418" s="48"/>
      <c r="I418" s="48"/>
      <c r="J418" s="48"/>
      <c r="K418" s="48"/>
      <c r="L418" s="39"/>
    </row>
    <row r="419" spans="1:12" ht="35.5" customHeight="1" x14ac:dyDescent="0.35">
      <c r="A419" s="41"/>
      <c r="B419" s="42"/>
      <c r="C419" s="43"/>
      <c r="D419" s="44"/>
      <c r="E419" s="49"/>
      <c r="F419" s="49"/>
      <c r="G419" s="49"/>
      <c r="H419" s="49"/>
      <c r="I419" s="49"/>
      <c r="J419" s="49"/>
      <c r="K419" s="49"/>
      <c r="L419" s="44"/>
    </row>
    <row r="420" spans="1:12" ht="35.5" customHeight="1" x14ac:dyDescent="0.35">
      <c r="A420" s="36"/>
      <c r="B420" s="37"/>
      <c r="C420" s="38"/>
      <c r="D420" s="39"/>
      <c r="E420" s="48"/>
      <c r="F420" s="48"/>
      <c r="G420" s="48"/>
      <c r="H420" s="48"/>
      <c r="I420" s="48"/>
      <c r="J420" s="48"/>
      <c r="K420" s="48"/>
      <c r="L420" s="39"/>
    </row>
    <row r="421" spans="1:12" ht="35.5" customHeight="1" x14ac:dyDescent="0.35">
      <c r="A421" s="41"/>
      <c r="B421" s="42"/>
      <c r="C421" s="43"/>
      <c r="D421" s="44"/>
      <c r="E421" s="49"/>
      <c r="F421" s="49"/>
      <c r="G421" s="49"/>
      <c r="H421" s="49"/>
      <c r="I421" s="49"/>
      <c r="J421" s="49"/>
      <c r="K421" s="49"/>
      <c r="L421" s="44"/>
    </row>
    <row r="422" spans="1:12" ht="35.5" customHeight="1" x14ac:dyDescent="0.35">
      <c r="A422" s="36"/>
      <c r="B422" s="37"/>
      <c r="C422" s="38"/>
      <c r="D422" s="39"/>
      <c r="E422" s="48"/>
      <c r="F422" s="48"/>
      <c r="G422" s="48"/>
      <c r="H422" s="48"/>
      <c r="I422" s="48"/>
      <c r="J422" s="48"/>
      <c r="K422" s="48"/>
      <c r="L422" s="39"/>
    </row>
    <row r="423" spans="1:12" ht="35.5" customHeight="1" x14ac:dyDescent="0.35">
      <c r="A423" s="41"/>
      <c r="B423" s="42"/>
      <c r="C423" s="43"/>
      <c r="D423" s="44"/>
      <c r="E423" s="49"/>
      <c r="F423" s="49"/>
      <c r="G423" s="49"/>
      <c r="H423" s="49"/>
      <c r="I423" s="49"/>
      <c r="J423" s="49"/>
      <c r="K423" s="49"/>
      <c r="L423" s="44"/>
    </row>
    <row r="424" spans="1:12" ht="35.5" customHeight="1" x14ac:dyDescent="0.35">
      <c r="A424" s="36"/>
      <c r="B424" s="37"/>
      <c r="C424" s="38"/>
      <c r="D424" s="39"/>
      <c r="E424" s="48"/>
      <c r="F424" s="48"/>
      <c r="G424" s="48"/>
      <c r="H424" s="48"/>
      <c r="I424" s="48"/>
      <c r="J424" s="48"/>
      <c r="K424" s="48"/>
      <c r="L424" s="39"/>
    </row>
    <row r="425" spans="1:12" ht="35.5" customHeight="1" x14ac:dyDescent="0.35">
      <c r="A425" s="41"/>
      <c r="B425" s="42"/>
      <c r="C425" s="43"/>
      <c r="D425" s="44"/>
      <c r="E425" s="49"/>
      <c r="F425" s="49"/>
      <c r="G425" s="49"/>
      <c r="H425" s="49"/>
      <c r="I425" s="49"/>
      <c r="J425" s="49"/>
      <c r="K425" s="49"/>
      <c r="L425" s="44"/>
    </row>
    <row r="426" spans="1:12" ht="35.5" customHeight="1" x14ac:dyDescent="0.35">
      <c r="A426" s="36"/>
      <c r="B426" s="37"/>
      <c r="C426" s="38"/>
      <c r="D426" s="39"/>
      <c r="E426" s="48"/>
      <c r="F426" s="48"/>
      <c r="G426" s="48"/>
      <c r="H426" s="48"/>
      <c r="I426" s="48"/>
      <c r="J426" s="48"/>
      <c r="K426" s="48"/>
      <c r="L426" s="39"/>
    </row>
    <row r="427" spans="1:12" ht="35.5" customHeight="1" x14ac:dyDescent="0.35">
      <c r="A427" s="41"/>
      <c r="B427" s="42"/>
      <c r="C427" s="43"/>
      <c r="D427" s="44"/>
      <c r="E427" s="49"/>
      <c r="F427" s="49"/>
      <c r="G427" s="49"/>
      <c r="H427" s="49"/>
      <c r="I427" s="49"/>
      <c r="J427" s="49"/>
      <c r="K427" s="49"/>
      <c r="L427" s="44"/>
    </row>
    <row r="428" spans="1:12" ht="35.5" customHeight="1" x14ac:dyDescent="0.35">
      <c r="A428" s="36"/>
      <c r="B428" s="37"/>
      <c r="C428" s="38"/>
      <c r="D428" s="39"/>
      <c r="E428" s="48"/>
      <c r="F428" s="48"/>
      <c r="G428" s="48"/>
      <c r="H428" s="48"/>
      <c r="I428" s="48"/>
      <c r="J428" s="48"/>
      <c r="K428" s="48"/>
      <c r="L428" s="39"/>
    </row>
    <row r="429" spans="1:12" ht="35.5" customHeight="1" x14ac:dyDescent="0.35">
      <c r="A429" s="41"/>
      <c r="B429" s="42"/>
      <c r="C429" s="43"/>
      <c r="D429" s="44"/>
      <c r="E429" s="49"/>
      <c r="F429" s="49"/>
      <c r="G429" s="49"/>
      <c r="H429" s="49"/>
      <c r="I429" s="49"/>
      <c r="J429" s="49"/>
      <c r="K429" s="49"/>
      <c r="L429" s="44"/>
    </row>
    <row r="430" spans="1:12" ht="35.5" customHeight="1" x14ac:dyDescent="0.35">
      <c r="A430" s="36"/>
      <c r="B430" s="37"/>
      <c r="C430" s="38"/>
      <c r="D430" s="39"/>
      <c r="E430" s="48"/>
      <c r="F430" s="48"/>
      <c r="G430" s="48"/>
      <c r="H430" s="48"/>
      <c r="I430" s="48"/>
      <c r="J430" s="48"/>
      <c r="K430" s="48"/>
      <c r="L430" s="39"/>
    </row>
    <row r="431" spans="1:12" ht="35.5" customHeight="1" x14ac:dyDescent="0.35">
      <c r="A431" s="41"/>
      <c r="B431" s="42"/>
      <c r="C431" s="43"/>
      <c r="D431" s="44"/>
      <c r="E431" s="49"/>
      <c r="F431" s="49"/>
      <c r="G431" s="49"/>
      <c r="H431" s="49"/>
      <c r="I431" s="49"/>
      <c r="J431" s="49"/>
      <c r="K431" s="49"/>
      <c r="L431" s="44"/>
    </row>
    <row r="432" spans="1:12" ht="35.5" customHeight="1" x14ac:dyDescent="0.35">
      <c r="A432" s="36"/>
      <c r="B432" s="37"/>
      <c r="C432" s="38"/>
      <c r="D432" s="39"/>
      <c r="E432" s="48"/>
      <c r="F432" s="48"/>
      <c r="G432" s="48"/>
      <c r="H432" s="48"/>
      <c r="I432" s="48"/>
      <c r="J432" s="48"/>
      <c r="K432" s="48"/>
      <c r="L432" s="39"/>
    </row>
    <row r="433" spans="1:12" ht="35.5" customHeight="1" x14ac:dyDescent="0.35">
      <c r="A433" s="41"/>
      <c r="B433" s="42"/>
      <c r="C433" s="43"/>
      <c r="D433" s="44"/>
      <c r="E433" s="49"/>
      <c r="F433" s="49"/>
      <c r="G433" s="49"/>
      <c r="H433" s="49"/>
      <c r="I433" s="49"/>
      <c r="J433" s="49"/>
      <c r="K433" s="49"/>
      <c r="L433" s="44"/>
    </row>
    <row r="434" spans="1:12" ht="35.5" customHeight="1" x14ac:dyDescent="0.35">
      <c r="A434" s="36"/>
      <c r="B434" s="37"/>
      <c r="C434" s="38"/>
      <c r="D434" s="39"/>
      <c r="E434" s="48"/>
      <c r="F434" s="48"/>
      <c r="G434" s="48"/>
      <c r="H434" s="48"/>
      <c r="I434" s="48"/>
      <c r="J434" s="48"/>
      <c r="K434" s="48"/>
      <c r="L434" s="39"/>
    </row>
    <row r="435" spans="1:12" ht="35.5" customHeight="1" x14ac:dyDescent="0.35">
      <c r="A435" s="41"/>
      <c r="B435" s="42"/>
      <c r="C435" s="43"/>
      <c r="D435" s="44"/>
      <c r="E435" s="49"/>
      <c r="F435" s="49"/>
      <c r="G435" s="49"/>
      <c r="H435" s="49"/>
      <c r="I435" s="49"/>
      <c r="J435" s="49"/>
      <c r="K435" s="49"/>
      <c r="L435" s="44"/>
    </row>
    <row r="436" spans="1:12" ht="35.5" customHeight="1" x14ac:dyDescent="0.35">
      <c r="A436" s="36"/>
      <c r="B436" s="37"/>
      <c r="C436" s="38"/>
      <c r="D436" s="39"/>
      <c r="E436" s="48"/>
      <c r="F436" s="48"/>
      <c r="G436" s="48"/>
      <c r="H436" s="48"/>
      <c r="I436" s="48"/>
      <c r="J436" s="48"/>
      <c r="K436" s="48"/>
      <c r="L436" s="39"/>
    </row>
    <row r="437" spans="1:12" ht="35.5" customHeight="1" x14ac:dyDescent="0.35">
      <c r="A437" s="41"/>
      <c r="B437" s="42"/>
      <c r="C437" s="43"/>
      <c r="D437" s="44"/>
      <c r="E437" s="49"/>
      <c r="F437" s="49"/>
      <c r="G437" s="49"/>
      <c r="H437" s="49"/>
      <c r="I437" s="49"/>
      <c r="J437" s="49"/>
      <c r="K437" s="49"/>
      <c r="L437" s="44"/>
    </row>
    <row r="438" spans="1:12" ht="35.5" customHeight="1" x14ac:dyDescent="0.35">
      <c r="A438" s="36"/>
      <c r="B438" s="37"/>
      <c r="C438" s="38"/>
      <c r="D438" s="39"/>
      <c r="E438" s="48"/>
      <c r="F438" s="48"/>
      <c r="G438" s="48"/>
      <c r="H438" s="48"/>
      <c r="I438" s="48"/>
      <c r="J438" s="48"/>
      <c r="K438" s="48"/>
      <c r="L438" s="39"/>
    </row>
    <row r="439" spans="1:12" ht="35.5" customHeight="1" x14ac:dyDescent="0.35">
      <c r="A439" s="41"/>
      <c r="B439" s="42"/>
      <c r="C439" s="43"/>
      <c r="D439" s="44"/>
      <c r="E439" s="49"/>
      <c r="F439" s="49"/>
      <c r="G439" s="49"/>
      <c r="H439" s="49"/>
      <c r="I439" s="49"/>
      <c r="J439" s="49"/>
      <c r="K439" s="49"/>
      <c r="L439" s="44"/>
    </row>
    <row r="440" spans="1:12" ht="35.5" customHeight="1" x14ac:dyDescent="0.35">
      <c r="A440" s="36"/>
      <c r="B440" s="37"/>
      <c r="C440" s="38"/>
      <c r="D440" s="39"/>
      <c r="E440" s="48"/>
      <c r="F440" s="48"/>
      <c r="G440" s="48"/>
      <c r="H440" s="48"/>
      <c r="I440" s="48"/>
      <c r="J440" s="48"/>
      <c r="K440" s="48"/>
      <c r="L440" s="39"/>
    </row>
    <row r="441" spans="1:12" ht="35.5" customHeight="1" x14ac:dyDescent="0.35">
      <c r="A441" s="41"/>
      <c r="B441" s="42"/>
      <c r="C441" s="43"/>
      <c r="D441" s="44"/>
      <c r="E441" s="49"/>
      <c r="F441" s="49"/>
      <c r="G441" s="49"/>
      <c r="H441" s="49"/>
      <c r="I441" s="49"/>
      <c r="J441" s="49"/>
      <c r="K441" s="49"/>
      <c r="L441" s="44"/>
    </row>
    <row r="442" spans="1:12" ht="35.5" customHeight="1" x14ac:dyDescent="0.35">
      <c r="A442" s="36"/>
      <c r="B442" s="37"/>
      <c r="C442" s="38"/>
      <c r="D442" s="39"/>
      <c r="E442" s="48"/>
      <c r="F442" s="48"/>
      <c r="G442" s="48"/>
      <c r="H442" s="48"/>
      <c r="I442" s="48"/>
      <c r="J442" s="48"/>
      <c r="K442" s="48"/>
      <c r="L442" s="39"/>
    </row>
    <row r="443" spans="1:12" ht="35.5" customHeight="1" x14ac:dyDescent="0.35">
      <c r="A443" s="41"/>
      <c r="B443" s="42"/>
      <c r="C443" s="43"/>
      <c r="D443" s="44"/>
      <c r="E443" s="49"/>
      <c r="F443" s="49"/>
      <c r="G443" s="49"/>
      <c r="H443" s="49"/>
      <c r="I443" s="49"/>
      <c r="J443" s="49"/>
      <c r="K443" s="49"/>
      <c r="L443" s="44"/>
    </row>
    <row r="444" spans="1:12" ht="35.5" customHeight="1" x14ac:dyDescent="0.35">
      <c r="A444" s="36"/>
      <c r="B444" s="37"/>
      <c r="C444" s="38"/>
      <c r="D444" s="39"/>
      <c r="E444" s="48"/>
      <c r="F444" s="48"/>
      <c r="G444" s="48"/>
      <c r="H444" s="48"/>
      <c r="I444" s="48"/>
      <c r="J444" s="48"/>
      <c r="K444" s="48"/>
      <c r="L444" s="39"/>
    </row>
    <row r="445" spans="1:12" ht="35.5" customHeight="1" x14ac:dyDescent="0.35">
      <c r="A445" s="41"/>
      <c r="B445" s="42"/>
      <c r="C445" s="43"/>
      <c r="D445" s="44"/>
      <c r="E445" s="49"/>
      <c r="F445" s="49"/>
      <c r="G445" s="49"/>
      <c r="H445" s="49"/>
      <c r="I445" s="49"/>
      <c r="J445" s="49"/>
      <c r="K445" s="49"/>
      <c r="L445" s="44"/>
    </row>
    <row r="446" spans="1:12" ht="35.5" customHeight="1" x14ac:dyDescent="0.35">
      <c r="A446" s="36"/>
      <c r="B446" s="37"/>
      <c r="C446" s="38"/>
      <c r="D446" s="39"/>
      <c r="E446" s="48"/>
      <c r="F446" s="48"/>
      <c r="G446" s="48"/>
      <c r="H446" s="48"/>
      <c r="I446" s="48"/>
      <c r="J446" s="48"/>
      <c r="K446" s="48"/>
      <c r="L446" s="39"/>
    </row>
    <row r="447" spans="1:12" ht="35.5" customHeight="1" x14ac:dyDescent="0.35">
      <c r="A447" s="41"/>
      <c r="B447" s="42"/>
      <c r="C447" s="43"/>
      <c r="D447" s="44"/>
      <c r="E447" s="49"/>
      <c r="F447" s="49"/>
      <c r="G447" s="49"/>
      <c r="H447" s="49"/>
      <c r="I447" s="49"/>
      <c r="J447" s="49"/>
      <c r="K447" s="49"/>
      <c r="L447" s="44"/>
    </row>
    <row r="448" spans="1:12" ht="35.5" customHeight="1" x14ac:dyDescent="0.35">
      <c r="A448" s="36"/>
      <c r="B448" s="37"/>
      <c r="C448" s="38"/>
      <c r="D448" s="39"/>
      <c r="E448" s="48"/>
      <c r="F448" s="48"/>
      <c r="G448" s="48"/>
      <c r="H448" s="48"/>
      <c r="I448" s="48"/>
      <c r="J448" s="48"/>
      <c r="K448" s="48"/>
      <c r="L448" s="39"/>
    </row>
    <row r="449" spans="1:12" ht="35.5" customHeight="1" x14ac:dyDescent="0.35">
      <c r="A449" s="41"/>
      <c r="B449" s="42"/>
      <c r="C449" s="43"/>
      <c r="D449" s="44"/>
      <c r="E449" s="49"/>
      <c r="F449" s="49"/>
      <c r="G449" s="49"/>
      <c r="H449" s="49"/>
      <c r="I449" s="49"/>
      <c r="J449" s="49"/>
      <c r="K449" s="49"/>
      <c r="L449" s="44"/>
    </row>
    <row r="450" spans="1:12" ht="35.5" customHeight="1" x14ac:dyDescent="0.35">
      <c r="A450" s="36"/>
      <c r="B450" s="37"/>
      <c r="C450" s="38"/>
      <c r="D450" s="39"/>
      <c r="E450" s="48"/>
      <c r="F450" s="48"/>
      <c r="G450" s="48"/>
      <c r="H450" s="48"/>
      <c r="I450" s="48"/>
      <c r="J450" s="48"/>
      <c r="K450" s="48"/>
      <c r="L450" s="39"/>
    </row>
    <row r="451" spans="1:12" ht="35.5" customHeight="1" x14ac:dyDescent="0.35">
      <c r="A451" s="41"/>
      <c r="B451" s="42"/>
      <c r="C451" s="43"/>
      <c r="D451" s="44"/>
      <c r="E451" s="49"/>
      <c r="F451" s="49"/>
      <c r="G451" s="49"/>
      <c r="H451" s="49"/>
      <c r="I451" s="49"/>
      <c r="J451" s="49"/>
      <c r="K451" s="49"/>
      <c r="L451" s="44"/>
    </row>
    <row r="452" spans="1:12" ht="35.5" customHeight="1" x14ac:dyDescent="0.35">
      <c r="A452" s="36"/>
      <c r="B452" s="37"/>
      <c r="C452" s="38"/>
      <c r="D452" s="39"/>
      <c r="E452" s="48"/>
      <c r="F452" s="48"/>
      <c r="G452" s="48"/>
      <c r="H452" s="48"/>
      <c r="I452" s="48"/>
      <c r="J452" s="48"/>
      <c r="K452" s="48"/>
      <c r="L452" s="39"/>
    </row>
    <row r="453" spans="1:12" ht="35.5" customHeight="1" x14ac:dyDescent="0.35">
      <c r="A453" s="41"/>
      <c r="B453" s="42"/>
      <c r="C453" s="43"/>
      <c r="D453" s="44"/>
      <c r="E453" s="49"/>
      <c r="F453" s="49"/>
      <c r="G453" s="49"/>
      <c r="H453" s="49"/>
      <c r="I453" s="49"/>
      <c r="J453" s="49"/>
      <c r="K453" s="49"/>
      <c r="L453" s="44"/>
    </row>
    <row r="454" spans="1:12" ht="35.5" customHeight="1" x14ac:dyDescent="0.35">
      <c r="A454" s="36"/>
      <c r="B454" s="37"/>
      <c r="C454" s="38"/>
      <c r="D454" s="39"/>
      <c r="E454" s="48"/>
      <c r="F454" s="48"/>
      <c r="G454" s="48"/>
      <c r="H454" s="48"/>
      <c r="I454" s="48"/>
      <c r="J454" s="48"/>
      <c r="K454" s="48"/>
      <c r="L454" s="39"/>
    </row>
    <row r="455" spans="1:12" ht="35.5" customHeight="1" x14ac:dyDescent="0.35">
      <c r="A455" s="41"/>
      <c r="B455" s="42"/>
      <c r="C455" s="43"/>
      <c r="D455" s="44"/>
      <c r="E455" s="49"/>
      <c r="F455" s="49"/>
      <c r="G455" s="49"/>
      <c r="H455" s="49"/>
      <c r="I455" s="49"/>
      <c r="J455" s="49"/>
      <c r="K455" s="49"/>
      <c r="L455" s="44"/>
    </row>
    <row r="456" spans="1:12" ht="35.5" customHeight="1" x14ac:dyDescent="0.35">
      <c r="A456" s="36"/>
      <c r="B456" s="37"/>
      <c r="C456" s="38"/>
      <c r="D456" s="39"/>
      <c r="E456" s="48"/>
      <c r="F456" s="48"/>
      <c r="G456" s="48"/>
      <c r="H456" s="48"/>
      <c r="I456" s="48"/>
      <c r="J456" s="48"/>
      <c r="K456" s="48"/>
      <c r="L456" s="39"/>
    </row>
    <row r="457" spans="1:12" ht="35.5" customHeight="1" x14ac:dyDescent="0.35">
      <c r="A457" s="41"/>
      <c r="B457" s="42"/>
      <c r="C457" s="43"/>
      <c r="D457" s="44"/>
      <c r="E457" s="49"/>
      <c r="F457" s="49"/>
      <c r="G457" s="49"/>
      <c r="H457" s="49"/>
      <c r="I457" s="49"/>
      <c r="J457" s="49"/>
      <c r="K457" s="49"/>
      <c r="L457" s="44"/>
    </row>
    <row r="458" spans="1:12" ht="35.5" customHeight="1" x14ac:dyDescent="0.35">
      <c r="A458" s="36"/>
      <c r="B458" s="37"/>
      <c r="C458" s="38"/>
      <c r="D458" s="39"/>
      <c r="E458" s="48"/>
      <c r="F458" s="48"/>
      <c r="G458" s="48"/>
      <c r="H458" s="48"/>
      <c r="I458" s="48"/>
      <c r="J458" s="48"/>
      <c r="K458" s="48"/>
      <c r="L458" s="39"/>
    </row>
    <row r="459" spans="1:12" ht="35.5" customHeight="1" x14ac:dyDescent="0.35">
      <c r="A459" s="41"/>
      <c r="B459" s="42"/>
      <c r="C459" s="43"/>
      <c r="D459" s="44"/>
      <c r="E459" s="49"/>
      <c r="F459" s="49"/>
      <c r="G459" s="49"/>
      <c r="H459" s="49"/>
      <c r="I459" s="49"/>
      <c r="J459" s="49"/>
      <c r="K459" s="49"/>
      <c r="L459" s="44"/>
    </row>
    <row r="460" spans="1:12" ht="35.5" customHeight="1" x14ac:dyDescent="0.35">
      <c r="A460" s="36"/>
      <c r="B460" s="37"/>
      <c r="C460" s="38"/>
      <c r="D460" s="39"/>
      <c r="E460" s="48"/>
      <c r="F460" s="48"/>
      <c r="G460" s="48"/>
      <c r="H460" s="48"/>
      <c r="I460" s="48"/>
      <c r="J460" s="48"/>
      <c r="K460" s="48"/>
      <c r="L460" s="39"/>
    </row>
    <row r="461" spans="1:12" ht="35.5" customHeight="1" x14ac:dyDescent="0.35">
      <c r="A461" s="41"/>
      <c r="B461" s="42"/>
      <c r="C461" s="43"/>
      <c r="D461" s="44"/>
      <c r="E461" s="49"/>
      <c r="F461" s="49"/>
      <c r="G461" s="49"/>
      <c r="H461" s="49"/>
      <c r="I461" s="49"/>
      <c r="J461" s="49"/>
      <c r="K461" s="49"/>
      <c r="L461" s="44"/>
    </row>
    <row r="462" spans="1:12" ht="35.5" customHeight="1" x14ac:dyDescent="0.35">
      <c r="A462" s="36"/>
      <c r="B462" s="37"/>
      <c r="C462" s="38"/>
      <c r="D462" s="39"/>
      <c r="E462" s="48"/>
      <c r="F462" s="48"/>
      <c r="G462" s="48"/>
      <c r="H462" s="48"/>
      <c r="I462" s="48"/>
      <c r="J462" s="48"/>
      <c r="K462" s="48"/>
      <c r="L462" s="39"/>
    </row>
    <row r="463" spans="1:12" ht="35.5" customHeight="1" x14ac:dyDescent="0.35">
      <c r="A463" s="41"/>
      <c r="B463" s="42"/>
      <c r="C463" s="43"/>
      <c r="D463" s="44"/>
      <c r="E463" s="49"/>
      <c r="F463" s="49"/>
      <c r="G463" s="49"/>
      <c r="H463" s="49"/>
      <c r="I463" s="49"/>
      <c r="J463" s="49"/>
      <c r="K463" s="49"/>
      <c r="L463" s="44"/>
    </row>
    <row r="464" spans="1:12" ht="35.5" customHeight="1" x14ac:dyDescent="0.35">
      <c r="A464" s="36"/>
      <c r="B464" s="37"/>
      <c r="C464" s="38"/>
      <c r="D464" s="39"/>
      <c r="E464" s="48"/>
      <c r="F464" s="48"/>
      <c r="G464" s="48"/>
      <c r="H464" s="48"/>
      <c r="I464" s="48"/>
      <c r="J464" s="48"/>
      <c r="K464" s="48"/>
      <c r="L464" s="39"/>
    </row>
    <row r="465" spans="1:12" ht="35.5" customHeight="1" x14ac:dyDescent="0.35">
      <c r="A465" s="41"/>
      <c r="B465" s="42"/>
      <c r="C465" s="43"/>
      <c r="D465" s="44"/>
      <c r="E465" s="49"/>
      <c r="F465" s="49"/>
      <c r="G465" s="49"/>
      <c r="H465" s="49"/>
      <c r="I465" s="49"/>
      <c r="J465" s="49"/>
      <c r="K465" s="49"/>
      <c r="L465" s="44"/>
    </row>
    <row r="466" spans="1:12" ht="35.5" customHeight="1" x14ac:dyDescent="0.35">
      <c r="A466" s="36"/>
      <c r="B466" s="37"/>
      <c r="C466" s="38"/>
      <c r="D466" s="39"/>
      <c r="E466" s="48"/>
      <c r="F466" s="48"/>
      <c r="G466" s="48"/>
      <c r="H466" s="48"/>
      <c r="I466" s="48"/>
      <c r="J466" s="48"/>
      <c r="K466" s="48"/>
      <c r="L466" s="39"/>
    </row>
    <row r="467" spans="1:12" ht="35.5" customHeight="1" x14ac:dyDescent="0.35">
      <c r="A467" s="41"/>
      <c r="B467" s="42"/>
      <c r="C467" s="43"/>
      <c r="D467" s="44"/>
      <c r="E467" s="49"/>
      <c r="F467" s="49"/>
      <c r="G467" s="49"/>
      <c r="H467" s="49"/>
      <c r="I467" s="49"/>
      <c r="J467" s="49"/>
      <c r="K467" s="49"/>
      <c r="L467" s="44"/>
    </row>
    <row r="468" spans="1:12" ht="35.5" customHeight="1" x14ac:dyDescent="0.35">
      <c r="A468" s="36"/>
      <c r="B468" s="37"/>
      <c r="C468" s="38"/>
      <c r="D468" s="39"/>
      <c r="E468" s="48"/>
      <c r="F468" s="48"/>
      <c r="G468" s="48"/>
      <c r="H468" s="48"/>
      <c r="I468" s="48"/>
      <c r="J468" s="48"/>
      <c r="K468" s="48"/>
      <c r="L468" s="39"/>
    </row>
    <row r="469" spans="1:12" ht="35.5" customHeight="1" x14ac:dyDescent="0.35">
      <c r="A469" s="41"/>
      <c r="B469" s="42"/>
      <c r="C469" s="43"/>
      <c r="D469" s="44"/>
      <c r="E469" s="49"/>
      <c r="F469" s="49"/>
      <c r="G469" s="49"/>
      <c r="H469" s="49"/>
      <c r="I469" s="49"/>
      <c r="J469" s="49"/>
      <c r="K469" s="49"/>
      <c r="L469" s="44"/>
    </row>
    <row r="470" spans="1:12" ht="35.5" customHeight="1" x14ac:dyDescent="0.35">
      <c r="A470" s="36"/>
      <c r="B470" s="37"/>
      <c r="C470" s="38"/>
      <c r="D470" s="39"/>
      <c r="E470" s="48"/>
      <c r="F470" s="48"/>
      <c r="G470" s="48"/>
      <c r="H470" s="48"/>
      <c r="I470" s="48"/>
      <c r="J470" s="48"/>
      <c r="K470" s="48"/>
      <c r="L470" s="39"/>
    </row>
    <row r="471" spans="1:12" ht="35.5" customHeight="1" x14ac:dyDescent="0.35">
      <c r="A471" s="41"/>
      <c r="B471" s="42"/>
      <c r="C471" s="43"/>
      <c r="D471" s="44"/>
      <c r="E471" s="49"/>
      <c r="F471" s="49"/>
      <c r="G471" s="49"/>
      <c r="H471" s="49"/>
      <c r="I471" s="49"/>
      <c r="J471" s="49"/>
      <c r="K471" s="49"/>
      <c r="L471" s="44"/>
    </row>
    <row r="472" spans="1:12" ht="35.5" customHeight="1" x14ac:dyDescent="0.35">
      <c r="A472" s="36"/>
      <c r="B472" s="37"/>
      <c r="C472" s="38"/>
      <c r="D472" s="39"/>
      <c r="E472" s="48"/>
      <c r="F472" s="48"/>
      <c r="G472" s="48"/>
      <c r="H472" s="48"/>
      <c r="I472" s="48"/>
      <c r="J472" s="48"/>
      <c r="K472" s="48"/>
      <c r="L472" s="39"/>
    </row>
    <row r="473" spans="1:12" ht="35.5" customHeight="1" x14ac:dyDescent="0.35">
      <c r="A473" s="41"/>
      <c r="B473" s="42"/>
      <c r="C473" s="43"/>
      <c r="D473" s="44"/>
      <c r="E473" s="49"/>
      <c r="F473" s="49"/>
      <c r="G473" s="49"/>
      <c r="H473" s="49"/>
      <c r="I473" s="49"/>
      <c r="J473" s="49"/>
      <c r="K473" s="49"/>
      <c r="L473" s="44"/>
    </row>
    <row r="474" spans="1:12" ht="35.5" customHeight="1" x14ac:dyDescent="0.35">
      <c r="A474" s="36"/>
      <c r="B474" s="37"/>
      <c r="C474" s="38"/>
      <c r="D474" s="39"/>
      <c r="E474" s="48"/>
      <c r="F474" s="48"/>
      <c r="G474" s="48"/>
      <c r="H474" s="48"/>
      <c r="I474" s="48"/>
      <c r="J474" s="48"/>
      <c r="K474" s="48"/>
      <c r="L474" s="39"/>
    </row>
    <row r="475" spans="1:12" ht="35.5" customHeight="1" x14ac:dyDescent="0.35">
      <c r="A475" s="41"/>
      <c r="B475" s="42"/>
      <c r="C475" s="43"/>
      <c r="D475" s="44"/>
      <c r="E475" s="49"/>
      <c r="F475" s="49"/>
      <c r="G475" s="49"/>
      <c r="H475" s="49"/>
      <c r="I475" s="49"/>
      <c r="J475" s="49"/>
      <c r="K475" s="49"/>
      <c r="L475" s="44"/>
    </row>
    <row r="476" spans="1:12" ht="35.5" customHeight="1" x14ac:dyDescent="0.35">
      <c r="A476" s="36"/>
      <c r="B476" s="37"/>
      <c r="C476" s="38"/>
      <c r="D476" s="39"/>
      <c r="E476" s="48"/>
      <c r="F476" s="48"/>
      <c r="G476" s="48"/>
      <c r="H476" s="48"/>
      <c r="I476" s="48"/>
      <c r="J476" s="48"/>
      <c r="K476" s="48"/>
      <c r="L476" s="39"/>
    </row>
    <row r="477" spans="1:12" ht="35.5" customHeight="1" x14ac:dyDescent="0.35">
      <c r="A477" s="41"/>
      <c r="B477" s="42"/>
      <c r="C477" s="43"/>
      <c r="D477" s="44"/>
      <c r="E477" s="49"/>
      <c r="F477" s="49"/>
      <c r="G477" s="49"/>
      <c r="H477" s="49"/>
      <c r="I477" s="49"/>
      <c r="J477" s="49"/>
      <c r="K477" s="49"/>
      <c r="L477" s="44"/>
    </row>
    <row r="478" spans="1:12" ht="35.5" customHeight="1" x14ac:dyDescent="0.35">
      <c r="A478" s="36"/>
      <c r="B478" s="37"/>
      <c r="C478" s="38"/>
      <c r="D478" s="39"/>
      <c r="E478" s="48"/>
      <c r="F478" s="48"/>
      <c r="G478" s="48"/>
      <c r="H478" s="48"/>
      <c r="I478" s="48"/>
      <c r="J478" s="48"/>
      <c r="K478" s="48"/>
      <c r="L478" s="39"/>
    </row>
    <row r="479" spans="1:12" ht="35.5" customHeight="1" x14ac:dyDescent="0.35">
      <c r="A479" s="41"/>
      <c r="B479" s="42"/>
      <c r="C479" s="43"/>
      <c r="D479" s="44"/>
      <c r="E479" s="49"/>
      <c r="F479" s="49"/>
      <c r="G479" s="49"/>
      <c r="H479" s="49"/>
      <c r="I479" s="49"/>
      <c r="J479" s="49"/>
      <c r="K479" s="49"/>
      <c r="L479" s="44"/>
    </row>
    <row r="480" spans="1:12" ht="35.5" customHeight="1" x14ac:dyDescent="0.35">
      <c r="A480" s="36"/>
      <c r="B480" s="37"/>
      <c r="C480" s="38"/>
      <c r="D480" s="39"/>
      <c r="E480" s="48"/>
      <c r="F480" s="48"/>
      <c r="G480" s="48"/>
      <c r="H480" s="48"/>
      <c r="I480" s="48"/>
      <c r="J480" s="48"/>
      <c r="K480" s="48"/>
      <c r="L480" s="39"/>
    </row>
    <row r="481" spans="1:12" ht="35.5" customHeight="1" x14ac:dyDescent="0.35">
      <c r="A481" s="41"/>
      <c r="B481" s="42"/>
      <c r="C481" s="43"/>
      <c r="D481" s="44"/>
      <c r="E481" s="49"/>
      <c r="F481" s="49"/>
      <c r="G481" s="49"/>
      <c r="H481" s="49"/>
      <c r="I481" s="49"/>
      <c r="J481" s="49"/>
      <c r="K481" s="49"/>
      <c r="L481" s="44"/>
    </row>
    <row r="482" spans="1:12" ht="35.5" customHeight="1" x14ac:dyDescent="0.35">
      <c r="A482" s="36"/>
      <c r="B482" s="37"/>
      <c r="C482" s="38"/>
      <c r="D482" s="39"/>
      <c r="E482" s="48"/>
      <c r="F482" s="48"/>
      <c r="G482" s="48"/>
      <c r="H482" s="48"/>
      <c r="I482" s="48"/>
      <c r="J482" s="48"/>
      <c r="K482" s="48"/>
      <c r="L482" s="39"/>
    </row>
    <row r="483" spans="1:12" ht="35.5" customHeight="1" x14ac:dyDescent="0.35">
      <c r="A483" s="41"/>
      <c r="B483" s="42"/>
      <c r="C483" s="43"/>
      <c r="D483" s="44"/>
      <c r="E483" s="49"/>
      <c r="F483" s="49"/>
      <c r="G483" s="49"/>
      <c r="H483" s="49"/>
      <c r="I483" s="49"/>
      <c r="J483" s="49"/>
      <c r="K483" s="49"/>
      <c r="L483" s="44"/>
    </row>
    <row r="484" spans="1:12" ht="35.5" customHeight="1" x14ac:dyDescent="0.35">
      <c r="A484" s="36"/>
      <c r="B484" s="37"/>
      <c r="C484" s="38"/>
      <c r="D484" s="39"/>
      <c r="E484" s="48"/>
      <c r="F484" s="48"/>
      <c r="G484" s="48"/>
      <c r="H484" s="48"/>
      <c r="I484" s="48"/>
      <c r="J484" s="48"/>
      <c r="K484" s="48"/>
      <c r="L484" s="39"/>
    </row>
    <row r="485" spans="1:12" ht="35.5" customHeight="1" x14ac:dyDescent="0.35">
      <c r="A485" s="41"/>
      <c r="B485" s="42"/>
      <c r="C485" s="43"/>
      <c r="D485" s="44"/>
      <c r="E485" s="49"/>
      <c r="F485" s="49"/>
      <c r="G485" s="49"/>
      <c r="H485" s="49"/>
      <c r="I485" s="49"/>
      <c r="J485" s="49"/>
      <c r="K485" s="49"/>
      <c r="L485" s="44"/>
    </row>
    <row r="486" spans="1:12" ht="35.5" customHeight="1" x14ac:dyDescent="0.35">
      <c r="A486" s="36"/>
      <c r="B486" s="37"/>
      <c r="C486" s="38"/>
      <c r="D486" s="39"/>
      <c r="E486" s="48"/>
      <c r="F486" s="48"/>
      <c r="G486" s="48"/>
      <c r="H486" s="48"/>
      <c r="I486" s="48"/>
      <c r="J486" s="48"/>
      <c r="K486" s="48"/>
      <c r="L486" s="39"/>
    </row>
    <row r="487" spans="1:12" ht="35.5" customHeight="1" x14ac:dyDescent="0.35">
      <c r="A487" s="41"/>
      <c r="B487" s="42"/>
      <c r="C487" s="43"/>
      <c r="D487" s="44"/>
      <c r="E487" s="49"/>
      <c r="F487" s="49"/>
      <c r="G487" s="49"/>
      <c r="H487" s="49"/>
      <c r="I487" s="49"/>
      <c r="J487" s="49"/>
      <c r="K487" s="49"/>
      <c r="L487" s="44"/>
    </row>
    <row r="488" spans="1:12" ht="35.5" customHeight="1" x14ac:dyDescent="0.35">
      <c r="A488" s="36"/>
      <c r="B488" s="37"/>
      <c r="C488" s="38"/>
      <c r="D488" s="39"/>
      <c r="E488" s="48"/>
      <c r="F488" s="48"/>
      <c r="G488" s="48"/>
      <c r="H488" s="48"/>
      <c r="I488" s="48"/>
      <c r="J488" s="48"/>
      <c r="K488" s="48"/>
      <c r="L488" s="39"/>
    </row>
    <row r="489" spans="1:12" ht="35.5" customHeight="1" x14ac:dyDescent="0.35">
      <c r="A489" s="41"/>
      <c r="B489" s="42"/>
      <c r="C489" s="43"/>
      <c r="D489" s="44"/>
      <c r="E489" s="49"/>
      <c r="F489" s="49"/>
      <c r="G489" s="49"/>
      <c r="H489" s="49"/>
      <c r="I489" s="49"/>
      <c r="J489" s="49"/>
      <c r="K489" s="49"/>
      <c r="L489" s="44"/>
    </row>
    <row r="490" spans="1:12" ht="35.5" customHeight="1" x14ac:dyDescent="0.35">
      <c r="A490" s="36"/>
      <c r="B490" s="37"/>
      <c r="C490" s="38"/>
      <c r="D490" s="39"/>
      <c r="E490" s="48"/>
      <c r="F490" s="48"/>
      <c r="G490" s="48"/>
      <c r="H490" s="48"/>
      <c r="I490" s="48"/>
      <c r="J490" s="48"/>
      <c r="K490" s="48"/>
      <c r="L490" s="39"/>
    </row>
    <row r="491" spans="1:12" ht="35.5" customHeight="1" x14ac:dyDescent="0.35">
      <c r="A491" s="41"/>
      <c r="B491" s="42"/>
      <c r="C491" s="43"/>
      <c r="D491" s="44"/>
      <c r="E491" s="49"/>
      <c r="F491" s="49"/>
      <c r="G491" s="49"/>
      <c r="H491" s="49"/>
      <c r="I491" s="49"/>
      <c r="J491" s="49"/>
      <c r="K491" s="49"/>
      <c r="L491" s="44"/>
    </row>
    <row r="492" spans="1:12" ht="35.5" customHeight="1" x14ac:dyDescent="0.35">
      <c r="A492" s="36"/>
      <c r="B492" s="37"/>
      <c r="C492" s="38"/>
      <c r="D492" s="39"/>
      <c r="E492" s="48"/>
      <c r="F492" s="48"/>
      <c r="G492" s="48"/>
      <c r="H492" s="48"/>
      <c r="I492" s="48"/>
      <c r="J492" s="48"/>
      <c r="K492" s="48"/>
      <c r="L492" s="39"/>
    </row>
    <row r="493" spans="1:12" ht="35.5" customHeight="1" x14ac:dyDescent="0.35">
      <c r="A493" s="41"/>
      <c r="B493" s="42"/>
      <c r="C493" s="43"/>
      <c r="D493" s="44"/>
      <c r="E493" s="49"/>
      <c r="F493" s="49"/>
      <c r="G493" s="49"/>
      <c r="H493" s="49"/>
      <c r="I493" s="49"/>
      <c r="J493" s="49"/>
      <c r="K493" s="49"/>
      <c r="L493" s="44"/>
    </row>
    <row r="494" spans="1:12" ht="35.5" customHeight="1" x14ac:dyDescent="0.35">
      <c r="A494" s="36"/>
      <c r="B494" s="37"/>
      <c r="C494" s="38"/>
      <c r="D494" s="39"/>
      <c r="E494" s="48"/>
      <c r="F494" s="48"/>
      <c r="G494" s="48"/>
      <c r="H494" s="48"/>
      <c r="I494" s="48"/>
      <c r="J494" s="48"/>
      <c r="K494" s="48"/>
      <c r="L494" s="39"/>
    </row>
    <row r="495" spans="1:12" ht="35.5" customHeight="1" x14ac:dyDescent="0.35">
      <c r="A495" s="41"/>
      <c r="B495" s="42"/>
      <c r="C495" s="43"/>
      <c r="D495" s="44"/>
      <c r="E495" s="49"/>
      <c r="F495" s="49"/>
      <c r="G495" s="49"/>
      <c r="H495" s="49"/>
      <c r="I495" s="49"/>
      <c r="J495" s="49"/>
      <c r="K495" s="49"/>
      <c r="L495" s="44"/>
    </row>
    <row r="496" spans="1:12" ht="35.5" customHeight="1" x14ac:dyDescent="0.35">
      <c r="A496" s="36"/>
      <c r="B496" s="37"/>
      <c r="C496" s="38"/>
      <c r="D496" s="39"/>
      <c r="E496" s="48"/>
      <c r="F496" s="48"/>
      <c r="G496" s="48"/>
      <c r="H496" s="48"/>
      <c r="I496" s="48"/>
      <c r="J496" s="48"/>
      <c r="K496" s="48"/>
      <c r="L496" s="39"/>
    </row>
    <row r="497" spans="1:12" ht="35.5" customHeight="1" x14ac:dyDescent="0.35">
      <c r="A497" s="41"/>
      <c r="B497" s="42"/>
      <c r="C497" s="43"/>
      <c r="D497" s="44"/>
      <c r="E497" s="49"/>
      <c r="F497" s="49"/>
      <c r="G497" s="49"/>
      <c r="H497" s="49"/>
      <c r="I497" s="49"/>
      <c r="J497" s="49"/>
      <c r="K497" s="49"/>
      <c r="L497" s="44"/>
    </row>
    <row r="498" spans="1:12" ht="35.5" customHeight="1" x14ac:dyDescent="0.35">
      <c r="A498" s="36"/>
      <c r="B498" s="37"/>
      <c r="C498" s="38"/>
      <c r="D498" s="39"/>
      <c r="E498" s="48"/>
      <c r="F498" s="48"/>
      <c r="G498" s="48"/>
      <c r="H498" s="48"/>
      <c r="I498" s="48"/>
      <c r="J498" s="48"/>
      <c r="K498" s="48"/>
      <c r="L498" s="39"/>
    </row>
    <row r="499" spans="1:12" ht="35.5" customHeight="1" x14ac:dyDescent="0.35">
      <c r="A499" s="41"/>
      <c r="B499" s="42"/>
      <c r="C499" s="43"/>
      <c r="D499" s="44"/>
      <c r="E499" s="49"/>
      <c r="F499" s="49"/>
      <c r="G499" s="49"/>
      <c r="H499" s="49"/>
      <c r="I499" s="49"/>
      <c r="J499" s="49"/>
      <c r="K499" s="49"/>
      <c r="L499" s="44"/>
    </row>
    <row r="500" spans="1:12" ht="35.5" customHeight="1" x14ac:dyDescent="0.35">
      <c r="A500" s="36"/>
      <c r="B500" s="37"/>
      <c r="C500" s="38"/>
      <c r="D500" s="39"/>
      <c r="E500" s="48"/>
      <c r="F500" s="48"/>
      <c r="G500" s="48"/>
      <c r="H500" s="48"/>
      <c r="I500" s="48"/>
      <c r="J500" s="48"/>
      <c r="K500" s="48"/>
      <c r="L500" s="39"/>
    </row>
    <row r="501" spans="1:12" ht="35.5" customHeight="1" x14ac:dyDescent="0.35">
      <c r="A501" s="41"/>
      <c r="B501" s="42"/>
      <c r="C501" s="43"/>
      <c r="D501" s="44"/>
      <c r="E501" s="49"/>
      <c r="F501" s="49"/>
      <c r="G501" s="49"/>
      <c r="H501" s="49"/>
      <c r="I501" s="49"/>
      <c r="J501" s="49"/>
      <c r="K501" s="49"/>
      <c r="L501" s="44"/>
    </row>
    <row r="502" spans="1:12" ht="35.5" customHeight="1" x14ac:dyDescent="0.35">
      <c r="A502" s="36"/>
      <c r="B502" s="37"/>
      <c r="C502" s="38"/>
      <c r="D502" s="39"/>
      <c r="E502" s="48"/>
      <c r="F502" s="48"/>
      <c r="G502" s="48"/>
      <c r="H502" s="48"/>
      <c r="I502" s="48"/>
      <c r="J502" s="48"/>
      <c r="K502" s="48"/>
      <c r="L502" s="39"/>
    </row>
    <row r="503" spans="1:12" ht="35.5" customHeight="1" x14ac:dyDescent="0.35">
      <c r="A503" s="41"/>
      <c r="B503" s="42"/>
      <c r="C503" s="43"/>
      <c r="D503" s="44"/>
      <c r="E503" s="49"/>
      <c r="F503" s="49"/>
      <c r="G503" s="49"/>
      <c r="H503" s="49"/>
      <c r="I503" s="49"/>
      <c r="J503" s="49"/>
      <c r="K503" s="49"/>
      <c r="L503" s="44"/>
    </row>
    <row r="504" spans="1:12" ht="35.5" customHeight="1" x14ac:dyDescent="0.35">
      <c r="A504" s="36"/>
      <c r="B504" s="37"/>
      <c r="C504" s="38"/>
      <c r="D504" s="39"/>
      <c r="E504" s="48"/>
      <c r="F504" s="48"/>
      <c r="G504" s="48"/>
      <c r="H504" s="48"/>
      <c r="I504" s="48"/>
      <c r="J504" s="48"/>
      <c r="K504" s="48"/>
      <c r="L504" s="39"/>
    </row>
    <row r="505" spans="1:12" ht="35.5" customHeight="1" x14ac:dyDescent="0.35">
      <c r="A505" s="41"/>
      <c r="B505" s="42"/>
      <c r="C505" s="43"/>
      <c r="D505" s="44"/>
      <c r="E505" s="49"/>
      <c r="F505" s="49"/>
      <c r="G505" s="49"/>
      <c r="H505" s="49"/>
      <c r="I505" s="49"/>
      <c r="J505" s="49"/>
      <c r="K505" s="49"/>
      <c r="L505" s="44"/>
    </row>
    <row r="506" spans="1:12" ht="35.5" customHeight="1" x14ac:dyDescent="0.35">
      <c r="A506" s="36"/>
      <c r="B506" s="37"/>
      <c r="C506" s="38"/>
      <c r="D506" s="39"/>
      <c r="E506" s="48"/>
      <c r="F506" s="48"/>
      <c r="G506" s="48"/>
      <c r="H506" s="48"/>
      <c r="I506" s="48"/>
      <c r="J506" s="48"/>
      <c r="K506" s="48"/>
      <c r="L506" s="39"/>
    </row>
    <row r="507" spans="1:12" ht="35.5" customHeight="1" x14ac:dyDescent="0.35">
      <c r="A507" s="41"/>
      <c r="B507" s="42"/>
      <c r="C507" s="43"/>
      <c r="D507" s="44"/>
      <c r="E507" s="49"/>
      <c r="F507" s="49"/>
      <c r="G507" s="49"/>
      <c r="H507" s="49"/>
      <c r="I507" s="49"/>
      <c r="J507" s="49"/>
      <c r="K507" s="49"/>
      <c r="L507" s="44"/>
    </row>
    <row r="508" spans="1:12" ht="35.5" customHeight="1" x14ac:dyDescent="0.35">
      <c r="A508" s="36"/>
      <c r="B508" s="37"/>
      <c r="C508" s="38"/>
      <c r="D508" s="39"/>
      <c r="E508" s="48"/>
      <c r="F508" s="48"/>
      <c r="G508" s="48"/>
      <c r="H508" s="48"/>
      <c r="I508" s="48"/>
      <c r="J508" s="48"/>
      <c r="K508" s="48"/>
      <c r="L508" s="39"/>
    </row>
    <row r="509" spans="1:12" ht="35.5" customHeight="1" x14ac:dyDescent="0.35">
      <c r="A509" s="41"/>
      <c r="B509" s="42"/>
      <c r="C509" s="43"/>
      <c r="D509" s="44"/>
      <c r="E509" s="49"/>
      <c r="F509" s="49"/>
      <c r="G509" s="49"/>
      <c r="H509" s="49"/>
      <c r="I509" s="49"/>
      <c r="J509" s="49"/>
      <c r="K509" s="49"/>
      <c r="L509" s="44"/>
    </row>
    <row r="510" spans="1:12" ht="35.5" customHeight="1" x14ac:dyDescent="0.35">
      <c r="A510" s="36"/>
      <c r="B510" s="37"/>
      <c r="C510" s="38"/>
      <c r="D510" s="39"/>
      <c r="E510" s="48"/>
      <c r="F510" s="48"/>
      <c r="G510" s="48"/>
      <c r="H510" s="48"/>
      <c r="I510" s="48"/>
      <c r="J510" s="48"/>
      <c r="K510" s="48"/>
      <c r="L510" s="39"/>
    </row>
    <row r="511" spans="1:12" ht="35.5" customHeight="1" x14ac:dyDescent="0.35">
      <c r="A511" s="41"/>
      <c r="B511" s="42"/>
      <c r="C511" s="43"/>
      <c r="D511" s="44"/>
      <c r="E511" s="49"/>
      <c r="F511" s="49"/>
      <c r="G511" s="49"/>
      <c r="H511" s="49"/>
      <c r="I511" s="49"/>
      <c r="J511" s="49"/>
      <c r="K511" s="49"/>
      <c r="L511" s="44"/>
    </row>
    <row r="512" spans="1:12" ht="35.5" customHeight="1" x14ac:dyDescent="0.35">
      <c r="A512" s="36"/>
      <c r="B512" s="37"/>
      <c r="C512" s="38"/>
      <c r="D512" s="39"/>
      <c r="E512" s="48"/>
      <c r="F512" s="48"/>
      <c r="G512" s="48"/>
      <c r="H512" s="48"/>
      <c r="I512" s="48"/>
      <c r="J512" s="48"/>
      <c r="K512" s="48"/>
      <c r="L512" s="39"/>
    </row>
    <row r="513" spans="1:12" ht="35.5" customHeight="1" x14ac:dyDescent="0.35">
      <c r="A513" s="41"/>
      <c r="B513" s="42"/>
      <c r="C513" s="43"/>
      <c r="D513" s="44"/>
      <c r="E513" s="49"/>
      <c r="F513" s="49"/>
      <c r="G513" s="49"/>
      <c r="H513" s="49"/>
      <c r="I513" s="49"/>
      <c r="J513" s="49"/>
      <c r="K513" s="49"/>
      <c r="L513" s="44"/>
    </row>
    <row r="514" spans="1:12" ht="35.5" customHeight="1" x14ac:dyDescent="0.35">
      <c r="A514" s="36"/>
      <c r="B514" s="37"/>
      <c r="C514" s="38"/>
      <c r="D514" s="39"/>
      <c r="E514" s="48"/>
      <c r="F514" s="48"/>
      <c r="G514" s="48"/>
      <c r="H514" s="48"/>
      <c r="I514" s="48"/>
      <c r="J514" s="48"/>
      <c r="K514" s="48"/>
      <c r="L514" s="39"/>
    </row>
    <row r="515" spans="1:12" ht="35.5" customHeight="1" x14ac:dyDescent="0.35">
      <c r="A515" s="41"/>
      <c r="B515" s="42"/>
      <c r="C515" s="43"/>
      <c r="D515" s="44"/>
      <c r="E515" s="49"/>
      <c r="F515" s="49"/>
      <c r="G515" s="49"/>
      <c r="H515" s="49"/>
      <c r="I515" s="49"/>
      <c r="J515" s="49"/>
      <c r="K515" s="49"/>
      <c r="L515" s="44"/>
    </row>
    <row r="516" spans="1:12" ht="35.5" customHeight="1" x14ac:dyDescent="0.35">
      <c r="A516" s="36"/>
      <c r="B516" s="37"/>
      <c r="C516" s="38"/>
      <c r="D516" s="39"/>
      <c r="E516" s="48"/>
      <c r="F516" s="48"/>
      <c r="G516" s="48"/>
      <c r="H516" s="48"/>
      <c r="I516" s="48"/>
      <c r="J516" s="48"/>
      <c r="K516" s="48"/>
      <c r="L516" s="39"/>
    </row>
    <row r="517" spans="1:12" ht="35.5" customHeight="1" x14ac:dyDescent="0.35">
      <c r="A517" s="41"/>
      <c r="B517" s="42"/>
      <c r="C517" s="43"/>
      <c r="D517" s="44"/>
      <c r="E517" s="49"/>
      <c r="F517" s="49"/>
      <c r="G517" s="49"/>
      <c r="H517" s="49"/>
      <c r="I517" s="49"/>
      <c r="J517" s="49"/>
      <c r="K517" s="49"/>
      <c r="L517" s="44"/>
    </row>
    <row r="518" spans="1:12" ht="35.5" customHeight="1" x14ac:dyDescent="0.35">
      <c r="A518" s="36"/>
      <c r="B518" s="37"/>
      <c r="C518" s="38"/>
      <c r="D518" s="39"/>
      <c r="E518" s="48"/>
      <c r="F518" s="48"/>
      <c r="G518" s="48"/>
      <c r="H518" s="48"/>
      <c r="I518" s="48"/>
      <c r="J518" s="48"/>
      <c r="K518" s="48"/>
      <c r="L518" s="39"/>
    </row>
    <row r="519" spans="1:12" ht="35.5" customHeight="1" x14ac:dyDescent="0.35">
      <c r="A519" s="41"/>
      <c r="B519" s="42"/>
      <c r="C519" s="43"/>
      <c r="D519" s="44"/>
      <c r="E519" s="49"/>
      <c r="F519" s="49"/>
      <c r="G519" s="49"/>
      <c r="H519" s="49"/>
      <c r="I519" s="49"/>
      <c r="J519" s="49"/>
      <c r="K519" s="49"/>
      <c r="L519" s="44"/>
    </row>
    <row r="520" spans="1:12" ht="35.5" customHeight="1" x14ac:dyDescent="0.35">
      <c r="A520" s="36"/>
      <c r="B520" s="37"/>
      <c r="C520" s="38"/>
      <c r="D520" s="39"/>
      <c r="E520" s="48"/>
      <c r="F520" s="48"/>
      <c r="G520" s="48"/>
      <c r="H520" s="48"/>
      <c r="I520" s="48"/>
      <c r="J520" s="48"/>
      <c r="K520" s="48"/>
      <c r="L520" s="39"/>
    </row>
    <row r="521" spans="1:12" ht="35.5" customHeight="1" x14ac:dyDescent="0.35">
      <c r="A521" s="41"/>
      <c r="B521" s="42"/>
      <c r="C521" s="43"/>
      <c r="D521" s="44"/>
      <c r="E521" s="49"/>
      <c r="F521" s="49"/>
      <c r="G521" s="49"/>
      <c r="H521" s="49"/>
      <c r="I521" s="49"/>
      <c r="J521" s="49"/>
      <c r="K521" s="49"/>
      <c r="L521" s="44"/>
    </row>
    <row r="522" spans="1:12" ht="35.5" customHeight="1" x14ac:dyDescent="0.35">
      <c r="A522" s="36"/>
      <c r="B522" s="37"/>
      <c r="C522" s="38"/>
      <c r="D522" s="39"/>
      <c r="E522" s="48"/>
      <c r="F522" s="48"/>
      <c r="G522" s="48"/>
      <c r="H522" s="48"/>
      <c r="I522" s="48"/>
      <c r="J522" s="48"/>
      <c r="K522" s="48"/>
      <c r="L522" s="39"/>
    </row>
    <row r="523" spans="1:12" ht="35.5" customHeight="1" x14ac:dyDescent="0.35">
      <c r="A523" s="41"/>
      <c r="B523" s="42"/>
      <c r="C523" s="43"/>
      <c r="D523" s="44"/>
      <c r="E523" s="49"/>
      <c r="F523" s="49"/>
      <c r="G523" s="49"/>
      <c r="H523" s="49"/>
      <c r="I523" s="49"/>
      <c r="J523" s="49"/>
      <c r="K523" s="49"/>
      <c r="L523" s="44"/>
    </row>
    <row r="524" spans="1:12" ht="35.5" customHeight="1" x14ac:dyDescent="0.35">
      <c r="A524" s="36"/>
      <c r="B524" s="37"/>
      <c r="C524" s="38"/>
      <c r="D524" s="39"/>
      <c r="E524" s="48"/>
      <c r="F524" s="48"/>
      <c r="G524" s="48"/>
      <c r="H524" s="48"/>
      <c r="I524" s="48"/>
      <c r="J524" s="48"/>
      <c r="K524" s="48"/>
      <c r="L524" s="39"/>
    </row>
    <row r="525" spans="1:12" ht="35.5" customHeight="1" x14ac:dyDescent="0.35">
      <c r="A525" s="41"/>
      <c r="B525" s="42"/>
      <c r="C525" s="43"/>
      <c r="D525" s="44"/>
      <c r="E525" s="49"/>
      <c r="F525" s="49"/>
      <c r="G525" s="49"/>
      <c r="H525" s="49"/>
      <c r="I525" s="49"/>
      <c r="J525" s="49"/>
      <c r="K525" s="49"/>
      <c r="L525" s="44"/>
    </row>
    <row r="526" spans="1:12" ht="35.5" customHeight="1" x14ac:dyDescent="0.35">
      <c r="A526" s="36"/>
      <c r="B526" s="37"/>
      <c r="C526" s="38"/>
      <c r="D526" s="39"/>
      <c r="E526" s="48"/>
      <c r="F526" s="48"/>
      <c r="G526" s="48"/>
      <c r="H526" s="48"/>
      <c r="I526" s="48"/>
      <c r="J526" s="48"/>
      <c r="K526" s="48"/>
      <c r="L526" s="39"/>
    </row>
    <row r="527" spans="1:12" ht="35.5" customHeight="1" x14ac:dyDescent="0.35">
      <c r="A527" s="41"/>
      <c r="B527" s="42"/>
      <c r="C527" s="43"/>
      <c r="D527" s="44"/>
      <c r="E527" s="49"/>
      <c r="F527" s="49"/>
      <c r="G527" s="49"/>
      <c r="H527" s="49"/>
      <c r="I527" s="49"/>
      <c r="J527" s="49"/>
      <c r="K527" s="49"/>
      <c r="L527" s="44"/>
    </row>
    <row r="528" spans="1:12" ht="35.5" customHeight="1" x14ac:dyDescent="0.35">
      <c r="A528" s="36"/>
      <c r="B528" s="37"/>
      <c r="C528" s="38"/>
      <c r="D528" s="39"/>
      <c r="E528" s="48"/>
      <c r="F528" s="48"/>
      <c r="G528" s="48"/>
      <c r="H528" s="48"/>
      <c r="I528" s="48"/>
      <c r="J528" s="48"/>
      <c r="K528" s="48"/>
      <c r="L528" s="39"/>
    </row>
    <row r="529" spans="1:12" ht="35.5" customHeight="1" x14ac:dyDescent="0.35">
      <c r="A529" s="41"/>
      <c r="B529" s="42"/>
      <c r="C529" s="43"/>
      <c r="D529" s="44"/>
      <c r="E529" s="49"/>
      <c r="F529" s="49"/>
      <c r="G529" s="49"/>
      <c r="H529" s="49"/>
      <c r="I529" s="49"/>
      <c r="J529" s="49"/>
      <c r="K529" s="49"/>
      <c r="L529" s="44"/>
    </row>
    <row r="530" spans="1:12" ht="35.5" customHeight="1" x14ac:dyDescent="0.35">
      <c r="A530" s="36"/>
      <c r="B530" s="37"/>
      <c r="C530" s="38"/>
      <c r="D530" s="39"/>
      <c r="E530" s="48"/>
      <c r="F530" s="48"/>
      <c r="G530" s="48"/>
      <c r="H530" s="48"/>
      <c r="I530" s="48"/>
      <c r="J530" s="48"/>
      <c r="K530" s="48"/>
      <c r="L530" s="39"/>
    </row>
    <row r="531" spans="1:12" ht="35.5" customHeight="1" x14ac:dyDescent="0.35">
      <c r="A531" s="41"/>
      <c r="B531" s="42"/>
      <c r="C531" s="43"/>
      <c r="D531" s="44"/>
      <c r="E531" s="49"/>
      <c r="F531" s="49"/>
      <c r="G531" s="49"/>
      <c r="H531" s="49"/>
      <c r="I531" s="49"/>
      <c r="J531" s="49"/>
      <c r="K531" s="49"/>
      <c r="L531" s="44"/>
    </row>
    <row r="532" spans="1:12" ht="35.5" customHeight="1" x14ac:dyDescent="0.35">
      <c r="A532" s="36"/>
      <c r="B532" s="37"/>
      <c r="C532" s="38"/>
      <c r="D532" s="39"/>
      <c r="E532" s="48"/>
      <c r="F532" s="48"/>
      <c r="G532" s="48"/>
      <c r="H532" s="48"/>
      <c r="I532" s="48"/>
      <c r="J532" s="48"/>
      <c r="K532" s="48"/>
      <c r="L532" s="39"/>
    </row>
    <row r="533" spans="1:12" ht="35.5" customHeight="1" x14ac:dyDescent="0.35">
      <c r="A533" s="41"/>
      <c r="B533" s="42"/>
      <c r="C533" s="43"/>
      <c r="D533" s="44"/>
      <c r="E533" s="49"/>
      <c r="F533" s="49"/>
      <c r="G533" s="49"/>
      <c r="H533" s="49"/>
      <c r="I533" s="49"/>
      <c r="J533" s="49"/>
      <c r="K533" s="49"/>
      <c r="L533" s="44"/>
    </row>
    <row r="534" spans="1:12" ht="35.5" customHeight="1" x14ac:dyDescent="0.35">
      <c r="A534" s="36"/>
      <c r="B534" s="37"/>
      <c r="C534" s="38"/>
      <c r="D534" s="39"/>
      <c r="E534" s="48"/>
      <c r="F534" s="48"/>
      <c r="G534" s="48"/>
      <c r="H534" s="48"/>
      <c r="I534" s="48"/>
      <c r="J534" s="48"/>
      <c r="K534" s="48"/>
      <c r="L534" s="39"/>
    </row>
    <row r="535" spans="1:12" ht="35.5" customHeight="1" x14ac:dyDescent="0.35">
      <c r="A535" s="41"/>
      <c r="B535" s="42"/>
      <c r="C535" s="43"/>
      <c r="D535" s="44"/>
      <c r="E535" s="49"/>
      <c r="F535" s="49"/>
      <c r="G535" s="49"/>
      <c r="H535" s="49"/>
      <c r="I535" s="49"/>
      <c r="J535" s="49"/>
      <c r="K535" s="49"/>
      <c r="L535" s="44"/>
    </row>
    <row r="536" spans="1:12" ht="35.5" customHeight="1" x14ac:dyDescent="0.35">
      <c r="A536" s="36"/>
      <c r="B536" s="37"/>
      <c r="C536" s="38"/>
      <c r="D536" s="39"/>
      <c r="E536" s="48"/>
      <c r="F536" s="48"/>
      <c r="G536" s="48"/>
      <c r="H536" s="48"/>
      <c r="I536" s="48"/>
      <c r="J536" s="48"/>
      <c r="K536" s="48"/>
      <c r="L536" s="39"/>
    </row>
    <row r="537" spans="1:12" ht="35.5" customHeight="1" x14ac:dyDescent="0.35">
      <c r="A537" s="41"/>
      <c r="B537" s="42"/>
      <c r="C537" s="43"/>
      <c r="D537" s="44"/>
      <c r="E537" s="49"/>
      <c r="F537" s="49"/>
      <c r="G537" s="49"/>
      <c r="H537" s="49"/>
      <c r="I537" s="49"/>
      <c r="J537" s="49"/>
      <c r="K537" s="49"/>
      <c r="L537" s="44"/>
    </row>
    <row r="538" spans="1:12" ht="35.5" customHeight="1" x14ac:dyDescent="0.35">
      <c r="A538" s="36"/>
      <c r="B538" s="37"/>
      <c r="C538" s="38"/>
      <c r="D538" s="39"/>
      <c r="E538" s="48"/>
      <c r="F538" s="48"/>
      <c r="G538" s="48"/>
      <c r="H538" s="48"/>
      <c r="I538" s="48"/>
      <c r="J538" s="48"/>
      <c r="K538" s="48"/>
      <c r="L538" s="39"/>
    </row>
    <row r="539" spans="1:12" ht="35.5" customHeight="1" x14ac:dyDescent="0.35">
      <c r="A539" s="41"/>
      <c r="B539" s="42"/>
      <c r="C539" s="43"/>
      <c r="D539" s="44"/>
      <c r="E539" s="49"/>
      <c r="F539" s="49"/>
      <c r="G539" s="49"/>
      <c r="H539" s="49"/>
      <c r="I539" s="49"/>
      <c r="J539" s="49"/>
      <c r="K539" s="49"/>
      <c r="L539" s="44"/>
    </row>
    <row r="540" spans="1:12" ht="35.5" customHeight="1" x14ac:dyDescent="0.35">
      <c r="A540" s="36"/>
      <c r="B540" s="37"/>
      <c r="C540" s="38"/>
      <c r="D540" s="39"/>
      <c r="E540" s="48"/>
      <c r="F540" s="48"/>
      <c r="G540" s="48"/>
      <c r="H540" s="48"/>
      <c r="I540" s="48"/>
      <c r="J540" s="48"/>
      <c r="K540" s="48"/>
      <c r="L540" s="39"/>
    </row>
    <row r="541" spans="1:12" ht="35.5" customHeight="1" x14ac:dyDescent="0.35">
      <c r="A541" s="41"/>
      <c r="B541" s="42"/>
      <c r="C541" s="43"/>
      <c r="D541" s="44"/>
      <c r="E541" s="49"/>
      <c r="F541" s="49"/>
      <c r="G541" s="49"/>
      <c r="H541" s="49"/>
      <c r="I541" s="49"/>
      <c r="J541" s="49"/>
      <c r="K541" s="49"/>
      <c r="L541" s="44"/>
    </row>
    <row r="542" spans="1:12" ht="35.5" customHeight="1" x14ac:dyDescent="0.35">
      <c r="A542" s="36"/>
      <c r="B542" s="37"/>
      <c r="C542" s="38"/>
      <c r="D542" s="39"/>
      <c r="E542" s="48"/>
      <c r="F542" s="48"/>
      <c r="G542" s="48"/>
      <c r="H542" s="48"/>
      <c r="I542" s="48"/>
      <c r="J542" s="48"/>
      <c r="K542" s="48"/>
      <c r="L542" s="39"/>
    </row>
    <row r="543" spans="1:12" ht="35.5" customHeight="1" x14ac:dyDescent="0.35">
      <c r="A543" s="41"/>
      <c r="B543" s="42"/>
      <c r="C543" s="43"/>
      <c r="D543" s="44"/>
      <c r="E543" s="49"/>
      <c r="F543" s="49"/>
      <c r="G543" s="49"/>
      <c r="H543" s="49"/>
      <c r="I543" s="49"/>
      <c r="J543" s="49"/>
      <c r="K543" s="49"/>
      <c r="L543" s="44"/>
    </row>
    <row r="544" spans="1:12" ht="35.5" customHeight="1" x14ac:dyDescent="0.35">
      <c r="A544" s="36"/>
      <c r="B544" s="37"/>
      <c r="C544" s="38"/>
      <c r="D544" s="39"/>
      <c r="E544" s="48"/>
      <c r="F544" s="48"/>
      <c r="G544" s="48"/>
      <c r="H544" s="48"/>
      <c r="I544" s="48"/>
      <c r="J544" s="48"/>
      <c r="K544" s="48"/>
      <c r="L544" s="39"/>
    </row>
    <row r="545" spans="1:12" ht="35.5" customHeight="1" x14ac:dyDescent="0.35">
      <c r="A545" s="41"/>
      <c r="B545" s="42"/>
      <c r="C545" s="43"/>
      <c r="D545" s="44"/>
      <c r="E545" s="49"/>
      <c r="F545" s="49"/>
      <c r="G545" s="49"/>
      <c r="H545" s="49"/>
      <c r="I545" s="49"/>
      <c r="J545" s="49"/>
      <c r="K545" s="49"/>
      <c r="L545" s="44"/>
    </row>
    <row r="546" spans="1:12" ht="35.5" customHeight="1" x14ac:dyDescent="0.35">
      <c r="A546" s="36"/>
      <c r="B546" s="37"/>
      <c r="C546" s="38"/>
      <c r="D546" s="39"/>
      <c r="E546" s="48"/>
      <c r="F546" s="48"/>
      <c r="G546" s="48"/>
      <c r="H546" s="48"/>
      <c r="I546" s="48"/>
      <c r="J546" s="48"/>
      <c r="K546" s="48"/>
      <c r="L546" s="39"/>
    </row>
    <row r="547" spans="1:12" ht="35.5" customHeight="1" x14ac:dyDescent="0.35">
      <c r="A547" s="41"/>
      <c r="B547" s="42"/>
      <c r="C547" s="43"/>
      <c r="D547" s="44"/>
      <c r="E547" s="49"/>
      <c r="F547" s="49"/>
      <c r="G547" s="49"/>
      <c r="H547" s="49"/>
      <c r="I547" s="49"/>
      <c r="J547" s="49"/>
      <c r="K547" s="49"/>
      <c r="L547" s="44"/>
    </row>
    <row r="548" spans="1:12" ht="35.5" customHeight="1" x14ac:dyDescent="0.35">
      <c r="A548" s="36"/>
      <c r="B548" s="37"/>
      <c r="C548" s="38"/>
      <c r="D548" s="39"/>
      <c r="E548" s="48"/>
      <c r="F548" s="48"/>
      <c r="G548" s="48"/>
      <c r="H548" s="48"/>
      <c r="I548" s="48"/>
      <c r="J548" s="48"/>
      <c r="K548" s="48"/>
      <c r="L548" s="39"/>
    </row>
    <row r="549" spans="1:12" ht="35.5" customHeight="1" x14ac:dyDescent="0.35">
      <c r="A549" s="41"/>
      <c r="B549" s="42"/>
      <c r="C549" s="43"/>
      <c r="D549" s="44"/>
      <c r="E549" s="49"/>
      <c r="F549" s="49"/>
      <c r="G549" s="49"/>
      <c r="H549" s="49"/>
      <c r="I549" s="49"/>
      <c r="J549" s="49"/>
      <c r="K549" s="49"/>
      <c r="L549" s="44"/>
    </row>
    <row r="550" spans="1:12" ht="35.5" customHeight="1" x14ac:dyDescent="0.35">
      <c r="A550" s="36"/>
      <c r="B550" s="37"/>
      <c r="C550" s="38"/>
      <c r="D550" s="39"/>
      <c r="E550" s="48"/>
      <c r="F550" s="48"/>
      <c r="G550" s="48"/>
      <c r="H550" s="48"/>
      <c r="I550" s="48"/>
      <c r="J550" s="48"/>
      <c r="K550" s="48"/>
      <c r="L550" s="39"/>
    </row>
    <row r="551" spans="1:12" ht="35.5" customHeight="1" x14ac:dyDescent="0.35">
      <c r="A551" s="41"/>
      <c r="B551" s="42"/>
      <c r="C551" s="43"/>
      <c r="D551" s="44"/>
      <c r="E551" s="49"/>
      <c r="F551" s="49"/>
      <c r="G551" s="49"/>
      <c r="H551" s="49"/>
      <c r="I551" s="49"/>
      <c r="J551" s="49"/>
      <c r="K551" s="49"/>
      <c r="L551" s="44"/>
    </row>
    <row r="552" spans="1:12" ht="35.5" customHeight="1" x14ac:dyDescent="0.35">
      <c r="A552" s="36"/>
      <c r="B552" s="37"/>
      <c r="C552" s="38"/>
      <c r="D552" s="39"/>
      <c r="E552" s="48"/>
      <c r="F552" s="48"/>
      <c r="G552" s="48"/>
      <c r="H552" s="48"/>
      <c r="I552" s="48"/>
      <c r="J552" s="48"/>
      <c r="K552" s="48"/>
      <c r="L552" s="39"/>
    </row>
    <row r="553" spans="1:12" ht="35.5" customHeight="1" x14ac:dyDescent="0.35">
      <c r="A553" s="41"/>
      <c r="B553" s="42"/>
      <c r="C553" s="43"/>
      <c r="D553" s="44"/>
      <c r="E553" s="49"/>
      <c r="F553" s="49"/>
      <c r="G553" s="49"/>
      <c r="H553" s="49"/>
      <c r="I553" s="49"/>
      <c r="J553" s="49"/>
      <c r="K553" s="49"/>
      <c r="L553" s="44"/>
    </row>
    <row r="554" spans="1:12" ht="35.5" customHeight="1" x14ac:dyDescent="0.35">
      <c r="A554" s="36"/>
      <c r="B554" s="37"/>
      <c r="C554" s="38"/>
      <c r="D554" s="39"/>
      <c r="E554" s="48"/>
      <c r="F554" s="48"/>
      <c r="G554" s="48"/>
      <c r="H554" s="48"/>
      <c r="I554" s="48"/>
      <c r="J554" s="48"/>
      <c r="K554" s="48"/>
      <c r="L554" s="39"/>
    </row>
    <row r="555" spans="1:12" ht="35.5" customHeight="1" x14ac:dyDescent="0.35">
      <c r="A555" s="41"/>
      <c r="B555" s="42"/>
      <c r="C555" s="43"/>
      <c r="D555" s="44"/>
      <c r="E555" s="49"/>
      <c r="F555" s="49"/>
      <c r="G555" s="49"/>
      <c r="H555" s="49"/>
      <c r="I555" s="49"/>
      <c r="J555" s="49"/>
      <c r="K555" s="49"/>
      <c r="L555" s="44"/>
    </row>
    <row r="556" spans="1:12" ht="35.5" customHeight="1" x14ac:dyDescent="0.35">
      <c r="A556" s="36"/>
      <c r="B556" s="37"/>
      <c r="C556" s="38"/>
      <c r="D556" s="39"/>
      <c r="E556" s="48"/>
      <c r="F556" s="48"/>
      <c r="G556" s="48"/>
      <c r="H556" s="48"/>
      <c r="I556" s="48"/>
      <c r="J556" s="48"/>
      <c r="K556" s="48"/>
      <c r="L556" s="39"/>
    </row>
    <row r="557" spans="1:12" ht="35.5" customHeight="1" x14ac:dyDescent="0.35">
      <c r="A557" s="41"/>
      <c r="B557" s="42"/>
      <c r="C557" s="43"/>
      <c r="D557" s="44"/>
      <c r="E557" s="49"/>
      <c r="F557" s="49"/>
      <c r="G557" s="49"/>
      <c r="H557" s="49"/>
      <c r="I557" s="49"/>
      <c r="J557" s="49"/>
      <c r="K557" s="49"/>
      <c r="L557" s="44"/>
    </row>
    <row r="558" spans="1:12" ht="35.5" customHeight="1" x14ac:dyDescent="0.35">
      <c r="A558" s="36"/>
      <c r="B558" s="37"/>
      <c r="C558" s="38"/>
      <c r="D558" s="39"/>
      <c r="E558" s="48"/>
      <c r="F558" s="48"/>
      <c r="G558" s="48"/>
      <c r="H558" s="48"/>
      <c r="I558" s="48"/>
      <c r="J558" s="48"/>
      <c r="K558" s="48"/>
      <c r="L558" s="39"/>
    </row>
    <row r="559" spans="1:12" ht="35.5" customHeight="1" x14ac:dyDescent="0.35">
      <c r="A559" s="41"/>
      <c r="B559" s="42"/>
      <c r="C559" s="43"/>
      <c r="D559" s="44"/>
      <c r="E559" s="49"/>
      <c r="F559" s="49"/>
      <c r="G559" s="49"/>
      <c r="H559" s="49"/>
      <c r="I559" s="49"/>
      <c r="J559" s="49"/>
      <c r="K559" s="49"/>
      <c r="L559" s="44"/>
    </row>
    <row r="560" spans="1:12" ht="35.5" customHeight="1" x14ac:dyDescent="0.35">
      <c r="A560" s="36"/>
      <c r="B560" s="37"/>
      <c r="C560" s="38"/>
      <c r="D560" s="39"/>
      <c r="E560" s="48"/>
      <c r="F560" s="48"/>
      <c r="G560" s="48"/>
      <c r="H560" s="48"/>
      <c r="I560" s="48"/>
      <c r="J560" s="48"/>
      <c r="K560" s="48"/>
      <c r="L560" s="39"/>
    </row>
    <row r="561" spans="1:12" ht="35.5" customHeight="1" x14ac:dyDescent="0.35">
      <c r="A561" s="41"/>
      <c r="B561" s="42"/>
      <c r="C561" s="43"/>
      <c r="D561" s="44"/>
      <c r="E561" s="49"/>
      <c r="F561" s="49"/>
      <c r="G561" s="49"/>
      <c r="H561" s="49"/>
      <c r="I561" s="49"/>
      <c r="J561" s="49"/>
      <c r="K561" s="49"/>
      <c r="L561" s="44"/>
    </row>
    <row r="562" spans="1:12" ht="35.5" customHeight="1" x14ac:dyDescent="0.35">
      <c r="A562" s="36"/>
      <c r="B562" s="37"/>
      <c r="C562" s="38"/>
      <c r="D562" s="39"/>
      <c r="E562" s="48"/>
      <c r="F562" s="48"/>
      <c r="G562" s="48"/>
      <c r="H562" s="48"/>
      <c r="I562" s="48"/>
      <c r="J562" s="48"/>
      <c r="K562" s="48"/>
      <c r="L562" s="39"/>
    </row>
    <row r="563" spans="1:12" ht="35.5" customHeight="1" x14ac:dyDescent="0.35">
      <c r="A563" s="41"/>
      <c r="B563" s="42"/>
      <c r="C563" s="43"/>
      <c r="D563" s="44"/>
      <c r="E563" s="49"/>
      <c r="F563" s="49"/>
      <c r="G563" s="49"/>
      <c r="H563" s="49"/>
      <c r="I563" s="49"/>
      <c r="J563" s="49"/>
      <c r="K563" s="49"/>
      <c r="L563" s="44"/>
    </row>
    <row r="564" spans="1:12" ht="35.5" customHeight="1" x14ac:dyDescent="0.35">
      <c r="A564" s="36"/>
      <c r="B564" s="37"/>
      <c r="C564" s="38"/>
      <c r="D564" s="39"/>
      <c r="E564" s="48"/>
      <c r="F564" s="48"/>
      <c r="G564" s="48"/>
      <c r="H564" s="48"/>
      <c r="I564" s="48"/>
      <c r="J564" s="48"/>
      <c r="K564" s="48"/>
      <c r="L564" s="39"/>
    </row>
    <row r="565" spans="1:12" ht="35.5" customHeight="1" x14ac:dyDescent="0.35">
      <c r="A565" s="41"/>
      <c r="B565" s="42"/>
      <c r="C565" s="43"/>
      <c r="D565" s="44"/>
      <c r="E565" s="49"/>
      <c r="F565" s="49"/>
      <c r="G565" s="49"/>
      <c r="H565" s="49"/>
      <c r="I565" s="49"/>
      <c r="J565" s="49"/>
      <c r="K565" s="49"/>
      <c r="L565" s="44"/>
    </row>
    <row r="566" spans="1:12" ht="35.5" customHeight="1" x14ac:dyDescent="0.35">
      <c r="A566" s="36"/>
      <c r="B566" s="37"/>
      <c r="C566" s="38"/>
      <c r="D566" s="39"/>
      <c r="E566" s="48"/>
      <c r="F566" s="48"/>
      <c r="G566" s="48"/>
      <c r="H566" s="48"/>
      <c r="I566" s="48"/>
      <c r="J566" s="48"/>
      <c r="K566" s="48"/>
      <c r="L566" s="39"/>
    </row>
    <row r="567" spans="1:12" ht="35.5" customHeight="1" x14ac:dyDescent="0.35">
      <c r="A567" s="41"/>
      <c r="B567" s="42"/>
      <c r="C567" s="43"/>
      <c r="D567" s="44"/>
      <c r="E567" s="49"/>
      <c r="F567" s="49"/>
      <c r="G567" s="49"/>
      <c r="H567" s="49"/>
      <c r="I567" s="49"/>
      <c r="J567" s="49"/>
      <c r="K567" s="49"/>
      <c r="L567" s="44"/>
    </row>
    <row r="568" spans="1:12" ht="35.5" customHeight="1" x14ac:dyDescent="0.35">
      <c r="A568" s="36"/>
      <c r="B568" s="37"/>
      <c r="C568" s="38"/>
      <c r="D568" s="39"/>
      <c r="E568" s="48"/>
      <c r="F568" s="48"/>
      <c r="G568" s="48"/>
      <c r="H568" s="48"/>
      <c r="I568" s="48"/>
      <c r="J568" s="48"/>
      <c r="K568" s="48"/>
      <c r="L568" s="39"/>
    </row>
    <row r="569" spans="1:12" ht="35.5" customHeight="1" x14ac:dyDescent="0.35">
      <c r="A569" s="41"/>
      <c r="B569" s="42"/>
      <c r="C569" s="43"/>
      <c r="D569" s="44"/>
      <c r="E569" s="49"/>
      <c r="F569" s="49"/>
      <c r="G569" s="49"/>
      <c r="H569" s="49"/>
      <c r="I569" s="49"/>
      <c r="J569" s="49"/>
      <c r="K569" s="49"/>
      <c r="L569" s="44"/>
    </row>
    <row r="570" spans="1:12" ht="35.5" customHeight="1" x14ac:dyDescent="0.35">
      <c r="A570" s="36"/>
      <c r="B570" s="37"/>
      <c r="C570" s="38"/>
      <c r="D570" s="39"/>
      <c r="E570" s="48"/>
      <c r="F570" s="48"/>
      <c r="G570" s="48"/>
      <c r="H570" s="48"/>
      <c r="I570" s="48"/>
      <c r="J570" s="48"/>
      <c r="K570" s="48"/>
      <c r="L570" s="39"/>
    </row>
    <row r="571" spans="1:12" ht="35.5" customHeight="1" x14ac:dyDescent="0.35">
      <c r="A571" s="41"/>
      <c r="B571" s="42"/>
      <c r="C571" s="43"/>
      <c r="D571" s="44"/>
      <c r="E571" s="49"/>
      <c r="F571" s="49"/>
      <c r="G571" s="49"/>
      <c r="H571" s="49"/>
      <c r="I571" s="49"/>
      <c r="J571" s="49"/>
      <c r="K571" s="49"/>
      <c r="L571" s="44"/>
    </row>
    <row r="572" spans="1:12" ht="35.5" customHeight="1" x14ac:dyDescent="0.35">
      <c r="A572" s="36"/>
      <c r="B572" s="37"/>
      <c r="C572" s="38"/>
      <c r="D572" s="39"/>
      <c r="E572" s="48"/>
      <c r="F572" s="48"/>
      <c r="G572" s="48"/>
      <c r="H572" s="48"/>
      <c r="I572" s="48"/>
      <c r="J572" s="48"/>
      <c r="K572" s="48"/>
      <c r="L572" s="39"/>
    </row>
    <row r="573" spans="1:12" ht="35.5" customHeight="1" x14ac:dyDescent="0.35">
      <c r="A573" s="41"/>
      <c r="B573" s="42"/>
      <c r="C573" s="43"/>
      <c r="D573" s="44"/>
      <c r="E573" s="49"/>
      <c r="F573" s="49"/>
      <c r="G573" s="49"/>
      <c r="H573" s="49"/>
      <c r="I573" s="49"/>
      <c r="J573" s="49"/>
      <c r="K573" s="49"/>
      <c r="L573" s="44"/>
    </row>
    <row r="574" spans="1:12" ht="35.5" customHeight="1" x14ac:dyDescent="0.35">
      <c r="A574" s="36"/>
      <c r="B574" s="37"/>
      <c r="C574" s="38"/>
      <c r="D574" s="39"/>
      <c r="E574" s="48"/>
      <c r="F574" s="48"/>
      <c r="G574" s="48"/>
      <c r="H574" s="48"/>
      <c r="I574" s="48"/>
      <c r="J574" s="48"/>
      <c r="K574" s="48"/>
      <c r="L574" s="39"/>
    </row>
    <row r="575" spans="1:12" ht="35.5" customHeight="1" x14ac:dyDescent="0.35">
      <c r="A575" s="41"/>
      <c r="B575" s="42"/>
      <c r="C575" s="43"/>
      <c r="D575" s="44"/>
      <c r="E575" s="49"/>
      <c r="F575" s="49"/>
      <c r="G575" s="49"/>
      <c r="H575" s="49"/>
      <c r="I575" s="49"/>
      <c r="J575" s="49"/>
      <c r="K575" s="49"/>
      <c r="L575" s="44"/>
    </row>
    <row r="576" spans="1:12" ht="35.5" customHeight="1" x14ac:dyDescent="0.35">
      <c r="A576" s="36"/>
      <c r="B576" s="37"/>
      <c r="C576" s="38"/>
      <c r="D576" s="39"/>
      <c r="E576" s="48"/>
      <c r="F576" s="48"/>
      <c r="G576" s="48"/>
      <c r="H576" s="48"/>
      <c r="I576" s="48"/>
      <c r="J576" s="48"/>
      <c r="K576" s="48"/>
      <c r="L576" s="39"/>
    </row>
    <row r="577" spans="1:12" ht="35.5" customHeight="1" x14ac:dyDescent="0.35">
      <c r="A577" s="41"/>
      <c r="B577" s="42"/>
      <c r="C577" s="43"/>
      <c r="D577" s="44"/>
      <c r="E577" s="49"/>
      <c r="F577" s="49"/>
      <c r="G577" s="49"/>
      <c r="H577" s="49"/>
      <c r="I577" s="49"/>
      <c r="J577" s="49"/>
      <c r="K577" s="49"/>
      <c r="L577" s="44"/>
    </row>
    <row r="578" spans="1:12" ht="35.5" customHeight="1" x14ac:dyDescent="0.35">
      <c r="A578" s="36"/>
      <c r="B578" s="37"/>
      <c r="C578" s="38"/>
      <c r="D578" s="39"/>
      <c r="E578" s="48"/>
      <c r="F578" s="48"/>
      <c r="G578" s="48"/>
      <c r="H578" s="48"/>
      <c r="I578" s="48"/>
      <c r="J578" s="48"/>
      <c r="K578" s="48"/>
      <c r="L578" s="39"/>
    </row>
    <row r="579" spans="1:12" ht="35.5" customHeight="1" x14ac:dyDescent="0.35">
      <c r="A579" s="41"/>
      <c r="B579" s="42"/>
      <c r="C579" s="43"/>
      <c r="D579" s="44"/>
      <c r="E579" s="49"/>
      <c r="F579" s="49"/>
      <c r="G579" s="49"/>
      <c r="H579" s="49"/>
      <c r="I579" s="49"/>
      <c r="J579" s="49"/>
      <c r="K579" s="49"/>
      <c r="L579" s="44"/>
    </row>
    <row r="580" spans="1:12" ht="35.5" customHeight="1" x14ac:dyDescent="0.35">
      <c r="A580" s="36"/>
      <c r="B580" s="37"/>
      <c r="C580" s="38"/>
      <c r="D580" s="39"/>
      <c r="E580" s="48"/>
      <c r="F580" s="48"/>
      <c r="G580" s="48"/>
      <c r="H580" s="48"/>
      <c r="I580" s="48"/>
      <c r="J580" s="48"/>
      <c r="K580" s="48"/>
      <c r="L580" s="39"/>
    </row>
    <row r="581" spans="1:12" ht="35.5" customHeight="1" x14ac:dyDescent="0.35">
      <c r="A581" s="41"/>
      <c r="B581" s="42"/>
      <c r="C581" s="43"/>
      <c r="D581" s="44"/>
      <c r="E581" s="49"/>
      <c r="F581" s="49"/>
      <c r="G581" s="49"/>
      <c r="H581" s="49"/>
      <c r="I581" s="49"/>
      <c r="J581" s="49"/>
      <c r="K581" s="49"/>
      <c r="L581" s="44"/>
    </row>
    <row r="582" spans="1:12" ht="35.5" customHeight="1" x14ac:dyDescent="0.35">
      <c r="A582" s="36"/>
      <c r="B582" s="37"/>
      <c r="C582" s="38"/>
      <c r="D582" s="39"/>
      <c r="E582" s="48"/>
      <c r="F582" s="48"/>
      <c r="G582" s="48"/>
      <c r="H582" s="48"/>
      <c r="I582" s="48"/>
      <c r="J582" s="48"/>
      <c r="K582" s="48"/>
      <c r="L582" s="39"/>
    </row>
    <row r="583" spans="1:12" ht="35.5" customHeight="1" x14ac:dyDescent="0.35">
      <c r="A583" s="41"/>
      <c r="B583" s="42"/>
      <c r="C583" s="43"/>
      <c r="D583" s="44"/>
      <c r="E583" s="49"/>
      <c r="F583" s="49"/>
      <c r="G583" s="49"/>
      <c r="H583" s="49"/>
      <c r="I583" s="49"/>
      <c r="J583" s="49"/>
      <c r="K583" s="49"/>
      <c r="L583" s="44"/>
    </row>
    <row r="584" spans="1:12" ht="35.5" customHeight="1" x14ac:dyDescent="0.35">
      <c r="A584" s="36"/>
      <c r="B584" s="37"/>
      <c r="C584" s="38"/>
      <c r="D584" s="39"/>
      <c r="E584" s="48"/>
      <c r="F584" s="48"/>
      <c r="G584" s="48"/>
      <c r="H584" s="48"/>
      <c r="I584" s="48"/>
      <c r="J584" s="48"/>
      <c r="K584" s="48"/>
      <c r="L584" s="39"/>
    </row>
    <row r="585" spans="1:12" ht="35.5" customHeight="1" x14ac:dyDescent="0.35">
      <c r="A585" s="41"/>
      <c r="B585" s="42"/>
      <c r="C585" s="43"/>
      <c r="D585" s="44"/>
      <c r="E585" s="49"/>
      <c r="F585" s="49"/>
      <c r="G585" s="49"/>
      <c r="H585" s="49"/>
      <c r="I585" s="49"/>
      <c r="J585" s="49"/>
      <c r="K585" s="49"/>
      <c r="L585" s="44"/>
    </row>
    <row r="586" spans="1:12" ht="35.5" customHeight="1" x14ac:dyDescent="0.35">
      <c r="A586" s="36"/>
      <c r="B586" s="37"/>
      <c r="C586" s="38"/>
      <c r="D586" s="39"/>
      <c r="E586" s="48"/>
      <c r="F586" s="48"/>
      <c r="G586" s="48"/>
      <c r="H586" s="48"/>
      <c r="I586" s="48"/>
      <c r="J586" s="48"/>
      <c r="K586" s="48"/>
      <c r="L586" s="39"/>
    </row>
    <row r="587" spans="1:12" ht="35.5" customHeight="1" x14ac:dyDescent="0.35">
      <c r="A587" s="41"/>
      <c r="B587" s="42"/>
      <c r="C587" s="43"/>
      <c r="D587" s="44"/>
      <c r="E587" s="49"/>
      <c r="F587" s="49"/>
      <c r="G587" s="49"/>
      <c r="H587" s="49"/>
      <c r="I587" s="49"/>
      <c r="J587" s="49"/>
      <c r="K587" s="49"/>
      <c r="L587" s="44"/>
    </row>
    <row r="588" spans="1:12" ht="35.5" customHeight="1" x14ac:dyDescent="0.35">
      <c r="A588" s="36"/>
      <c r="B588" s="37"/>
      <c r="C588" s="38"/>
      <c r="D588" s="39"/>
      <c r="E588" s="48"/>
      <c r="F588" s="48"/>
      <c r="G588" s="48"/>
      <c r="H588" s="48"/>
      <c r="I588" s="48"/>
      <c r="J588" s="48"/>
      <c r="K588" s="48"/>
      <c r="L588" s="39"/>
    </row>
    <row r="589" spans="1:12" ht="35.5" customHeight="1" x14ac:dyDescent="0.35">
      <c r="A589" s="41"/>
      <c r="B589" s="42"/>
      <c r="C589" s="43"/>
      <c r="D589" s="44"/>
      <c r="E589" s="49"/>
      <c r="F589" s="49"/>
      <c r="G589" s="49"/>
      <c r="H589" s="49"/>
      <c r="I589" s="49"/>
      <c r="J589" s="49"/>
      <c r="K589" s="49"/>
      <c r="L589" s="44"/>
    </row>
    <row r="590" spans="1:12" ht="35.5" customHeight="1" x14ac:dyDescent="0.35">
      <c r="A590" s="36"/>
      <c r="B590" s="37"/>
      <c r="C590" s="38"/>
      <c r="D590" s="39"/>
      <c r="E590" s="48"/>
      <c r="F590" s="48"/>
      <c r="G590" s="48"/>
      <c r="H590" s="48"/>
      <c r="I590" s="48"/>
      <c r="J590" s="48"/>
      <c r="K590" s="48"/>
      <c r="L590" s="39"/>
    </row>
    <row r="591" spans="1:12" ht="35.5" customHeight="1" x14ac:dyDescent="0.35">
      <c r="A591" s="41"/>
      <c r="B591" s="42"/>
      <c r="C591" s="43"/>
      <c r="D591" s="44"/>
      <c r="E591" s="49"/>
      <c r="F591" s="49"/>
      <c r="G591" s="49"/>
      <c r="H591" s="49"/>
      <c r="I591" s="49"/>
      <c r="J591" s="49"/>
      <c r="K591" s="49"/>
      <c r="L591" s="44"/>
    </row>
    <row r="592" spans="1:12" ht="35.5" customHeight="1" x14ac:dyDescent="0.35">
      <c r="A592" s="36"/>
      <c r="B592" s="37"/>
      <c r="C592" s="38"/>
      <c r="D592" s="39"/>
      <c r="E592" s="48"/>
      <c r="F592" s="48"/>
      <c r="G592" s="48"/>
      <c r="H592" s="48"/>
      <c r="I592" s="48"/>
      <c r="J592" s="48"/>
      <c r="K592" s="48"/>
      <c r="L592" s="39"/>
    </row>
    <row r="593" spans="1:12" ht="35.5" customHeight="1" x14ac:dyDescent="0.35">
      <c r="A593" s="41"/>
      <c r="B593" s="42"/>
      <c r="C593" s="43"/>
      <c r="D593" s="44"/>
      <c r="E593" s="49"/>
      <c r="F593" s="49"/>
      <c r="G593" s="49"/>
      <c r="H593" s="49"/>
      <c r="I593" s="49"/>
      <c r="J593" s="49"/>
      <c r="K593" s="49"/>
      <c r="L593" s="44"/>
    </row>
    <row r="594" spans="1:12" ht="35.5" customHeight="1" x14ac:dyDescent="0.35">
      <c r="A594" s="36"/>
      <c r="B594" s="37"/>
      <c r="C594" s="38"/>
      <c r="D594" s="39"/>
      <c r="E594" s="48"/>
      <c r="F594" s="48"/>
      <c r="G594" s="48"/>
      <c r="H594" s="48"/>
      <c r="I594" s="48"/>
      <c r="J594" s="48"/>
      <c r="K594" s="48"/>
      <c r="L594" s="39"/>
    </row>
    <row r="595" spans="1:12" ht="35.5" customHeight="1" x14ac:dyDescent="0.35">
      <c r="A595" s="41"/>
      <c r="B595" s="42"/>
      <c r="C595" s="43"/>
      <c r="D595" s="44"/>
      <c r="E595" s="49"/>
      <c r="F595" s="49"/>
      <c r="G595" s="49"/>
      <c r="H595" s="49"/>
      <c r="I595" s="49"/>
      <c r="J595" s="49"/>
      <c r="K595" s="49"/>
      <c r="L595" s="44"/>
    </row>
    <row r="596" spans="1:12" ht="35.5" customHeight="1" x14ac:dyDescent="0.35">
      <c r="A596" s="36"/>
      <c r="B596" s="37"/>
      <c r="C596" s="38"/>
      <c r="D596" s="39"/>
      <c r="E596" s="48"/>
      <c r="F596" s="48"/>
      <c r="G596" s="48"/>
      <c r="H596" s="48"/>
      <c r="I596" s="48"/>
      <c r="J596" s="48"/>
      <c r="K596" s="48"/>
      <c r="L596" s="39"/>
    </row>
    <row r="597" spans="1:12" ht="35.5" customHeight="1" x14ac:dyDescent="0.35">
      <c r="A597" s="41"/>
      <c r="B597" s="42"/>
      <c r="C597" s="43"/>
      <c r="D597" s="44"/>
      <c r="E597" s="49"/>
      <c r="F597" s="49"/>
      <c r="G597" s="49"/>
      <c r="H597" s="49"/>
      <c r="I597" s="49"/>
      <c r="J597" s="49"/>
      <c r="K597" s="49"/>
      <c r="L597" s="44"/>
    </row>
    <row r="598" spans="1:12" ht="35.5" customHeight="1" x14ac:dyDescent="0.35">
      <c r="A598" s="36"/>
      <c r="B598" s="37"/>
      <c r="C598" s="38"/>
      <c r="D598" s="39"/>
      <c r="E598" s="48"/>
      <c r="F598" s="48"/>
      <c r="G598" s="48"/>
      <c r="H598" s="48"/>
      <c r="I598" s="48"/>
      <c r="J598" s="48"/>
      <c r="K598" s="48"/>
      <c r="L598" s="39"/>
    </row>
    <row r="599" spans="1:12" ht="35.5" customHeight="1" x14ac:dyDescent="0.35">
      <c r="A599" s="41"/>
      <c r="B599" s="42"/>
      <c r="C599" s="43"/>
      <c r="D599" s="44"/>
      <c r="E599" s="49"/>
      <c r="F599" s="49"/>
      <c r="G599" s="49"/>
      <c r="H599" s="49"/>
      <c r="I599" s="49"/>
      <c r="J599" s="49"/>
      <c r="K599" s="49"/>
      <c r="L599" s="44"/>
    </row>
    <row r="600" spans="1:12" ht="35.5" customHeight="1" x14ac:dyDescent="0.35">
      <c r="A600" s="36"/>
      <c r="B600" s="37"/>
      <c r="C600" s="38"/>
      <c r="D600" s="39"/>
      <c r="E600" s="48"/>
      <c r="F600" s="48"/>
      <c r="G600" s="48"/>
      <c r="H600" s="48"/>
      <c r="I600" s="48"/>
      <c r="J600" s="48"/>
      <c r="K600" s="48"/>
      <c r="L600" s="39"/>
    </row>
    <row r="601" spans="1:12" ht="35.5" customHeight="1" x14ac:dyDescent="0.35">
      <c r="A601" s="41"/>
      <c r="B601" s="42"/>
      <c r="C601" s="43"/>
      <c r="D601" s="44"/>
      <c r="E601" s="49"/>
      <c r="F601" s="49"/>
      <c r="G601" s="49"/>
      <c r="H601" s="49"/>
      <c r="I601" s="49"/>
      <c r="J601" s="49"/>
      <c r="K601" s="49"/>
      <c r="L601" s="44"/>
    </row>
    <row r="602" spans="1:12" ht="35.5" customHeight="1" x14ac:dyDescent="0.35">
      <c r="A602" s="36"/>
      <c r="B602" s="37"/>
      <c r="C602" s="38"/>
      <c r="D602" s="39"/>
      <c r="E602" s="48"/>
      <c r="F602" s="48"/>
      <c r="G602" s="48"/>
      <c r="H602" s="48"/>
      <c r="I602" s="48"/>
      <c r="J602" s="48"/>
      <c r="K602" s="48"/>
      <c r="L602" s="39"/>
    </row>
    <row r="603" spans="1:12" ht="35.5" customHeight="1" x14ac:dyDescent="0.35">
      <c r="A603" s="41"/>
      <c r="B603" s="42"/>
      <c r="C603" s="43"/>
      <c r="D603" s="44"/>
      <c r="E603" s="49"/>
      <c r="F603" s="49"/>
      <c r="G603" s="49"/>
      <c r="H603" s="49"/>
      <c r="I603" s="49"/>
      <c r="J603" s="49"/>
      <c r="K603" s="49"/>
      <c r="L603" s="44"/>
    </row>
    <row r="604" spans="1:12" ht="35.5" customHeight="1" x14ac:dyDescent="0.35">
      <c r="A604" s="36"/>
      <c r="B604" s="37"/>
      <c r="C604" s="38"/>
      <c r="D604" s="39"/>
      <c r="E604" s="48"/>
      <c r="F604" s="48"/>
      <c r="G604" s="48"/>
      <c r="H604" s="48"/>
      <c r="I604" s="48"/>
      <c r="J604" s="48"/>
      <c r="K604" s="48"/>
      <c r="L604" s="39"/>
    </row>
    <row r="605" spans="1:12" ht="35.5" customHeight="1" x14ac:dyDescent="0.35">
      <c r="A605" s="41"/>
      <c r="B605" s="42"/>
      <c r="C605" s="43"/>
      <c r="D605" s="44"/>
      <c r="E605" s="49"/>
      <c r="F605" s="49"/>
      <c r="G605" s="49"/>
      <c r="H605" s="49"/>
      <c r="I605" s="49"/>
      <c r="J605" s="49"/>
      <c r="K605" s="49"/>
      <c r="L605" s="44"/>
    </row>
    <row r="606" spans="1:12" ht="35.5" customHeight="1" x14ac:dyDescent="0.35">
      <c r="A606" s="36"/>
      <c r="B606" s="37"/>
      <c r="C606" s="38"/>
      <c r="D606" s="39"/>
      <c r="E606" s="48"/>
      <c r="F606" s="48"/>
      <c r="G606" s="48"/>
      <c r="H606" s="48"/>
      <c r="I606" s="48"/>
      <c r="J606" s="48"/>
      <c r="K606" s="48"/>
      <c r="L606" s="39"/>
    </row>
    <row r="607" spans="1:12" ht="35.5" customHeight="1" x14ac:dyDescent="0.35">
      <c r="A607" s="41"/>
      <c r="B607" s="42"/>
      <c r="C607" s="43"/>
      <c r="D607" s="44"/>
      <c r="E607" s="49"/>
      <c r="F607" s="49"/>
      <c r="G607" s="49"/>
      <c r="H607" s="49"/>
      <c r="I607" s="49"/>
      <c r="J607" s="49"/>
      <c r="K607" s="49"/>
      <c r="L607" s="44"/>
    </row>
    <row r="608" spans="1:12" ht="35.5" customHeight="1" x14ac:dyDescent="0.35">
      <c r="A608" s="36"/>
      <c r="B608" s="37"/>
      <c r="C608" s="38"/>
      <c r="D608" s="39"/>
      <c r="E608" s="48"/>
      <c r="F608" s="48"/>
      <c r="G608" s="48"/>
      <c r="H608" s="48"/>
      <c r="I608" s="48"/>
      <c r="J608" s="48"/>
      <c r="K608" s="48"/>
      <c r="L608" s="39"/>
    </row>
    <row r="609" spans="1:12" ht="35.5" customHeight="1" x14ac:dyDescent="0.35">
      <c r="A609" s="41"/>
      <c r="B609" s="42"/>
      <c r="C609" s="43"/>
      <c r="D609" s="44"/>
      <c r="E609" s="49"/>
      <c r="F609" s="49"/>
      <c r="G609" s="49"/>
      <c r="H609" s="49"/>
      <c r="I609" s="49"/>
      <c r="J609" s="49"/>
      <c r="K609" s="49"/>
      <c r="L609" s="44"/>
    </row>
    <row r="610" spans="1:12" ht="35.5" customHeight="1" x14ac:dyDescent="0.35">
      <c r="A610" s="36"/>
      <c r="B610" s="37"/>
      <c r="C610" s="38"/>
      <c r="D610" s="39"/>
      <c r="E610" s="48"/>
      <c r="F610" s="48"/>
      <c r="G610" s="48"/>
      <c r="H610" s="48"/>
      <c r="I610" s="48"/>
      <c r="J610" s="48"/>
      <c r="K610" s="48"/>
      <c r="L610" s="39"/>
    </row>
    <row r="611" spans="1:12" ht="35.5" customHeight="1" x14ac:dyDescent="0.35">
      <c r="A611" s="41"/>
      <c r="B611" s="42"/>
      <c r="C611" s="43"/>
      <c r="D611" s="44"/>
      <c r="E611" s="49"/>
      <c r="F611" s="49"/>
      <c r="G611" s="49"/>
      <c r="H611" s="49"/>
      <c r="I611" s="49"/>
      <c r="J611" s="49"/>
      <c r="K611" s="49"/>
      <c r="L611" s="44"/>
    </row>
    <row r="612" spans="1:12" ht="35.5" customHeight="1" x14ac:dyDescent="0.35">
      <c r="A612" s="36"/>
      <c r="B612" s="37"/>
      <c r="C612" s="38"/>
      <c r="D612" s="39"/>
      <c r="E612" s="48"/>
      <c r="F612" s="48"/>
      <c r="G612" s="48"/>
      <c r="H612" s="48"/>
      <c r="I612" s="48"/>
      <c r="J612" s="48"/>
      <c r="K612" s="48"/>
      <c r="L612" s="39"/>
    </row>
    <row r="613" spans="1:12" ht="35.5" customHeight="1" x14ac:dyDescent="0.35">
      <c r="A613" s="41"/>
      <c r="B613" s="42"/>
      <c r="C613" s="43"/>
      <c r="D613" s="44"/>
      <c r="E613" s="49"/>
      <c r="F613" s="49"/>
      <c r="G613" s="49"/>
      <c r="H613" s="49"/>
      <c r="I613" s="49"/>
      <c r="J613" s="49"/>
      <c r="K613" s="49"/>
      <c r="L613" s="44"/>
    </row>
    <row r="614" spans="1:12" ht="35.5" customHeight="1" x14ac:dyDescent="0.35">
      <c r="A614" s="36"/>
      <c r="B614" s="37"/>
      <c r="C614" s="38"/>
      <c r="D614" s="39"/>
      <c r="E614" s="48"/>
      <c r="F614" s="48"/>
      <c r="G614" s="48"/>
      <c r="H614" s="48"/>
      <c r="I614" s="48"/>
      <c r="J614" s="48"/>
      <c r="K614" s="48"/>
      <c r="L614" s="39"/>
    </row>
    <row r="615" spans="1:12" ht="35.5" customHeight="1" x14ac:dyDescent="0.35">
      <c r="A615" s="41"/>
      <c r="B615" s="42"/>
      <c r="C615" s="43"/>
      <c r="D615" s="44"/>
      <c r="E615" s="49"/>
      <c r="F615" s="49"/>
      <c r="G615" s="49"/>
      <c r="H615" s="49"/>
      <c r="I615" s="49"/>
      <c r="J615" s="49"/>
      <c r="K615" s="49"/>
      <c r="L615" s="44"/>
    </row>
    <row r="616" spans="1:12" ht="35.5" customHeight="1" x14ac:dyDescent="0.35">
      <c r="A616" s="36"/>
      <c r="B616" s="37"/>
      <c r="C616" s="38"/>
      <c r="D616" s="39"/>
      <c r="E616" s="48"/>
      <c r="F616" s="48"/>
      <c r="G616" s="48"/>
      <c r="H616" s="48"/>
      <c r="I616" s="48"/>
      <c r="J616" s="48"/>
      <c r="K616" s="48"/>
      <c r="L616" s="39"/>
    </row>
    <row r="617" spans="1:12" ht="35.5" customHeight="1" x14ac:dyDescent="0.35">
      <c r="A617" s="41"/>
      <c r="B617" s="42"/>
      <c r="C617" s="43"/>
      <c r="D617" s="44"/>
      <c r="E617" s="49"/>
      <c r="F617" s="49"/>
      <c r="G617" s="49"/>
      <c r="H617" s="49"/>
      <c r="I617" s="49"/>
      <c r="J617" s="49"/>
      <c r="K617" s="49"/>
      <c r="L617" s="44"/>
    </row>
    <row r="618" spans="1:12" ht="35.5" customHeight="1" x14ac:dyDescent="0.35">
      <c r="A618" s="36"/>
      <c r="B618" s="37"/>
      <c r="C618" s="38"/>
      <c r="D618" s="39"/>
      <c r="E618" s="48"/>
      <c r="F618" s="48"/>
      <c r="G618" s="48"/>
      <c r="H618" s="48"/>
      <c r="I618" s="48"/>
      <c r="J618" s="48"/>
      <c r="K618" s="48"/>
      <c r="L618" s="39"/>
    </row>
    <row r="619" spans="1:12" ht="35.5" customHeight="1" x14ac:dyDescent="0.35">
      <c r="A619" s="41"/>
      <c r="B619" s="42"/>
      <c r="C619" s="43"/>
      <c r="D619" s="44"/>
      <c r="E619" s="49"/>
      <c r="F619" s="49"/>
      <c r="G619" s="49"/>
      <c r="H619" s="49"/>
      <c r="I619" s="49"/>
      <c r="J619" s="49"/>
      <c r="K619" s="49"/>
      <c r="L619" s="44"/>
    </row>
    <row r="620" spans="1:12" ht="35.5" customHeight="1" x14ac:dyDescent="0.35">
      <c r="A620" s="36"/>
      <c r="B620" s="37"/>
      <c r="C620" s="38"/>
      <c r="D620" s="39"/>
      <c r="E620" s="48"/>
      <c r="F620" s="48"/>
      <c r="G620" s="48"/>
      <c r="H620" s="48"/>
      <c r="I620" s="48"/>
      <c r="J620" s="48"/>
      <c r="K620" s="48"/>
      <c r="L620" s="39"/>
    </row>
    <row r="621" spans="1:12" ht="35.5" customHeight="1" x14ac:dyDescent="0.35">
      <c r="A621" s="41"/>
      <c r="B621" s="42"/>
      <c r="C621" s="43"/>
      <c r="D621" s="44"/>
      <c r="E621" s="49"/>
      <c r="F621" s="49"/>
      <c r="G621" s="49"/>
      <c r="H621" s="49"/>
      <c r="I621" s="49"/>
      <c r="J621" s="49"/>
      <c r="K621" s="49"/>
      <c r="L621" s="44"/>
    </row>
    <row r="622" spans="1:12" ht="35.5" customHeight="1" x14ac:dyDescent="0.35">
      <c r="A622" s="36"/>
      <c r="B622" s="37"/>
      <c r="C622" s="38"/>
      <c r="D622" s="39"/>
      <c r="E622" s="48"/>
      <c r="F622" s="48"/>
      <c r="G622" s="48"/>
      <c r="H622" s="48"/>
      <c r="I622" s="48"/>
      <c r="J622" s="48"/>
      <c r="K622" s="48"/>
      <c r="L622" s="39"/>
    </row>
    <row r="623" spans="1:12" ht="35.5" customHeight="1" x14ac:dyDescent="0.35">
      <c r="A623" s="41"/>
      <c r="B623" s="42"/>
      <c r="C623" s="43"/>
      <c r="D623" s="44"/>
      <c r="E623" s="49"/>
      <c r="F623" s="49"/>
      <c r="G623" s="49"/>
      <c r="H623" s="49"/>
      <c r="I623" s="49"/>
      <c r="J623" s="49"/>
      <c r="K623" s="49"/>
      <c r="L623" s="44"/>
    </row>
    <row r="624" spans="1:12" ht="35.5" customHeight="1" x14ac:dyDescent="0.35">
      <c r="A624" s="36"/>
      <c r="B624" s="37"/>
      <c r="C624" s="38"/>
      <c r="D624" s="39"/>
      <c r="E624" s="48"/>
      <c r="F624" s="48"/>
      <c r="G624" s="48"/>
      <c r="H624" s="48"/>
      <c r="I624" s="48"/>
      <c r="J624" s="48"/>
      <c r="K624" s="48"/>
      <c r="L624" s="39"/>
    </row>
    <row r="625" spans="1:12" ht="35.5" customHeight="1" x14ac:dyDescent="0.35">
      <c r="A625" s="41"/>
      <c r="B625" s="42"/>
      <c r="C625" s="43"/>
      <c r="D625" s="44"/>
      <c r="E625" s="49"/>
      <c r="F625" s="49"/>
      <c r="G625" s="49"/>
      <c r="H625" s="49"/>
      <c r="I625" s="49"/>
      <c r="J625" s="49"/>
      <c r="K625" s="49"/>
      <c r="L625" s="44"/>
    </row>
    <row r="626" spans="1:12" ht="35.5" customHeight="1" x14ac:dyDescent="0.35">
      <c r="A626" s="36"/>
      <c r="B626" s="37"/>
      <c r="C626" s="38"/>
      <c r="D626" s="39"/>
      <c r="E626" s="48"/>
      <c r="F626" s="48"/>
      <c r="G626" s="48"/>
      <c r="H626" s="48"/>
      <c r="I626" s="48"/>
      <c r="J626" s="48"/>
      <c r="K626" s="48"/>
      <c r="L626" s="39"/>
    </row>
    <row r="627" spans="1:12" ht="35.5" customHeight="1" x14ac:dyDescent="0.35">
      <c r="A627" s="41"/>
      <c r="B627" s="42"/>
      <c r="C627" s="43"/>
      <c r="D627" s="44"/>
      <c r="E627" s="49"/>
      <c r="F627" s="49"/>
      <c r="G627" s="49"/>
      <c r="H627" s="49"/>
      <c r="I627" s="49"/>
      <c r="J627" s="49"/>
      <c r="K627" s="49"/>
      <c r="L627" s="44"/>
    </row>
    <row r="628" spans="1:12" ht="35.5" customHeight="1" x14ac:dyDescent="0.35">
      <c r="A628" s="36"/>
      <c r="B628" s="37"/>
      <c r="C628" s="38"/>
      <c r="D628" s="39"/>
      <c r="E628" s="48"/>
      <c r="F628" s="48"/>
      <c r="G628" s="48"/>
      <c r="H628" s="48"/>
      <c r="I628" s="48"/>
      <c r="J628" s="48"/>
      <c r="K628" s="48"/>
      <c r="L628" s="39"/>
    </row>
    <row r="629" spans="1:12" ht="35.5" customHeight="1" x14ac:dyDescent="0.35">
      <c r="A629" s="41"/>
      <c r="B629" s="42"/>
      <c r="C629" s="43"/>
      <c r="D629" s="44"/>
      <c r="E629" s="49"/>
      <c r="F629" s="49"/>
      <c r="G629" s="49"/>
      <c r="H629" s="49"/>
      <c r="I629" s="49"/>
      <c r="J629" s="49"/>
      <c r="K629" s="49"/>
      <c r="L629" s="44"/>
    </row>
    <row r="630" spans="1:12" ht="35.5" customHeight="1" x14ac:dyDescent="0.35">
      <c r="A630" s="36"/>
      <c r="B630" s="37"/>
      <c r="C630" s="38"/>
      <c r="D630" s="39"/>
      <c r="E630" s="48"/>
      <c r="F630" s="48"/>
      <c r="G630" s="48"/>
      <c r="H630" s="48"/>
      <c r="I630" s="48"/>
      <c r="J630" s="48"/>
      <c r="K630" s="48"/>
      <c r="L630" s="39"/>
    </row>
    <row r="631" spans="1:12" ht="35.5" customHeight="1" x14ac:dyDescent="0.35">
      <c r="A631" s="41"/>
      <c r="B631" s="42"/>
      <c r="C631" s="43"/>
      <c r="D631" s="44"/>
      <c r="E631" s="49"/>
      <c r="F631" s="49"/>
      <c r="G631" s="49"/>
      <c r="H631" s="49"/>
      <c r="I631" s="49"/>
      <c r="J631" s="49"/>
      <c r="K631" s="49"/>
      <c r="L631" s="44"/>
    </row>
    <row r="632" spans="1:12" ht="35.5" customHeight="1" x14ac:dyDescent="0.35">
      <c r="A632" s="36"/>
      <c r="B632" s="37"/>
      <c r="C632" s="38"/>
      <c r="D632" s="39"/>
      <c r="E632" s="48"/>
      <c r="F632" s="48"/>
      <c r="G632" s="48"/>
      <c r="H632" s="48"/>
      <c r="I632" s="48"/>
      <c r="J632" s="48"/>
      <c r="K632" s="48"/>
      <c r="L632" s="39"/>
    </row>
    <row r="633" spans="1:12" ht="35.5" customHeight="1" x14ac:dyDescent="0.35">
      <c r="A633" s="41"/>
      <c r="B633" s="42"/>
      <c r="C633" s="43"/>
      <c r="D633" s="44"/>
      <c r="E633" s="49"/>
      <c r="F633" s="49"/>
      <c r="G633" s="49"/>
      <c r="H633" s="49"/>
      <c r="I633" s="49"/>
      <c r="J633" s="49"/>
      <c r="K633" s="49"/>
      <c r="L633" s="44"/>
    </row>
    <row r="634" spans="1:12" ht="35.5" customHeight="1" x14ac:dyDescent="0.35">
      <c r="A634" s="36"/>
      <c r="B634" s="37"/>
      <c r="C634" s="38"/>
      <c r="D634" s="39"/>
      <c r="E634" s="48"/>
      <c r="F634" s="48"/>
      <c r="G634" s="48"/>
      <c r="H634" s="48"/>
      <c r="I634" s="48"/>
      <c r="J634" s="48"/>
      <c r="K634" s="48"/>
      <c r="L634" s="39"/>
    </row>
    <row r="635" spans="1:12" ht="35.5" customHeight="1" x14ac:dyDescent="0.35">
      <c r="A635" s="41"/>
      <c r="B635" s="42"/>
      <c r="C635" s="43"/>
      <c r="D635" s="44"/>
      <c r="E635" s="49"/>
      <c r="F635" s="49"/>
      <c r="G635" s="49"/>
      <c r="H635" s="49"/>
      <c r="I635" s="49"/>
      <c r="J635" s="49"/>
      <c r="K635" s="49"/>
      <c r="L635" s="44"/>
    </row>
    <row r="636" spans="1:12" ht="35.5" customHeight="1" x14ac:dyDescent="0.35">
      <c r="A636" s="36"/>
      <c r="B636" s="37"/>
      <c r="C636" s="38"/>
      <c r="D636" s="39"/>
      <c r="E636" s="48"/>
      <c r="F636" s="48"/>
      <c r="G636" s="48"/>
      <c r="H636" s="48"/>
      <c r="I636" s="48"/>
      <c r="J636" s="48"/>
      <c r="K636" s="48"/>
      <c r="L636" s="39"/>
    </row>
    <row r="637" spans="1:12" ht="35.5" customHeight="1" x14ac:dyDescent="0.35">
      <c r="A637" s="41"/>
      <c r="B637" s="42"/>
      <c r="C637" s="43"/>
      <c r="D637" s="44"/>
      <c r="E637" s="49"/>
      <c r="F637" s="49"/>
      <c r="G637" s="49"/>
      <c r="H637" s="49"/>
      <c r="I637" s="49"/>
      <c r="J637" s="49"/>
      <c r="K637" s="49"/>
      <c r="L637" s="44"/>
    </row>
    <row r="638" spans="1:12" ht="35.5" customHeight="1" x14ac:dyDescent="0.35">
      <c r="A638" s="36"/>
      <c r="B638" s="37"/>
      <c r="C638" s="38"/>
      <c r="D638" s="39"/>
      <c r="E638" s="48"/>
      <c r="F638" s="48"/>
      <c r="G638" s="48"/>
      <c r="H638" s="48"/>
      <c r="I638" s="48"/>
      <c r="J638" s="48"/>
      <c r="K638" s="48"/>
      <c r="L638" s="39"/>
    </row>
    <row r="639" spans="1:12" ht="35.5" customHeight="1" x14ac:dyDescent="0.35">
      <c r="A639" s="41"/>
      <c r="B639" s="42"/>
      <c r="C639" s="43"/>
      <c r="D639" s="44"/>
      <c r="E639" s="49"/>
      <c r="F639" s="49"/>
      <c r="G639" s="49"/>
      <c r="H639" s="49"/>
      <c r="I639" s="49"/>
      <c r="J639" s="49"/>
      <c r="K639" s="49"/>
      <c r="L639" s="44"/>
    </row>
  </sheetData>
  <mergeCells count="6">
    <mergeCell ref="L2:L3"/>
    <mergeCell ref="A2:A3"/>
    <mergeCell ref="B2:B3"/>
    <mergeCell ref="C2:C3"/>
    <mergeCell ref="D2:D3"/>
    <mergeCell ref="E2:K2"/>
  </mergeCells>
  <hyperlinks>
    <hyperlink ref="L5" r:id="rId1" display="https://www.apvit.com/ContractVehicles/hcats" xr:uid="{00000000-0004-0000-0300-000000000000}"/>
    <hyperlink ref="L6" r:id="rId2" location="1569001823180-24ae2ccc-c04e" display="http://www.adstm.com/contract-vehicles - 1569001823180-24ae2ccc-c04e" xr:uid="{00000000-0004-0000-0300-000001000000}"/>
    <hyperlink ref="L7" r:id="rId3" display="https://www.aestrategies.com/hcats" xr:uid="{00000000-0004-0000-0300-000002000000}"/>
    <hyperlink ref="L8" r:id="rId4" display="https://forwardmomentum.net/" xr:uid="{00000000-0004-0000-0300-000003000000}"/>
    <hyperlink ref="L9" r:id="rId5" display="https://www.avantgarde4usa.com/hcats-8a-pool-1/" xr:uid="{00000000-0004-0000-0300-000004000000}"/>
    <hyperlink ref="L10" r:id="rId6" display="https://www.chitraproductions.com/hcats-sb" xr:uid="{00000000-0004-0000-0300-000005000000}"/>
    <hyperlink ref="L11" r:id="rId7" display="https://www.colleagueconsulting.com/" xr:uid="{00000000-0004-0000-0300-000006000000}"/>
    <hyperlink ref="L12" r:id="rId8" display="https://ciinternational.com/human-capital-and-training-solutions-hcats/" xr:uid="{00000000-0004-0000-0300-000007000000}"/>
    <hyperlink ref="L13" r:id="rId9" display="https://www.ctrmg.com/contract-vehicles/" xr:uid="{00000000-0004-0000-0300-000008000000}"/>
    <hyperlink ref="L14" r:id="rId10" display="https://dmsinetwork.com/hcats/" xr:uid="{00000000-0004-0000-0300-000009000000}"/>
    <hyperlink ref="L15" r:id="rId11" display="https://deepmile.com/hcatssb/" xr:uid="{00000000-0004-0000-0300-00000A000000}"/>
    <hyperlink ref="L16" r:id="rId12" display="http://www.delanhq.com/hcats/" xr:uid="{00000000-0004-0000-0300-00000B000000}"/>
    <hyperlink ref="L17" r:id="rId13" display="https://www.e-paga.com/hcats-sb/" xr:uid="{00000000-0004-0000-0300-00000C000000}"/>
    <hyperlink ref="L18" r:id="rId14" display="https://www.engagingtraining.com/human-capital-and-training-solutions/" xr:uid="{00000000-0004-0000-0300-00000D000000}"/>
    <hyperlink ref="L19" r:id="rId15" display="https://thefullcirclegroup.com/consulting-government-services/government-vehicles/" xr:uid="{00000000-0004-0000-0300-00000E000000}"/>
    <hyperlink ref="L20" r:id="rId16" display="https://www.fullvisibility.com/hcats-contract-page" xr:uid="{00000000-0004-0000-0300-00000F000000}"/>
    <hyperlink ref="L21" r:id="rId17" display="https://gothamgovernment.com/contracts/hcats/" xr:uid="{00000000-0004-0000-0300-000010000000}"/>
    <hyperlink ref="L22" r:id="rId18" display="http://www.ideationinc.com/2019/08/ideation-inc-awarded-gsa-small-business-contract-for-human-capital-and-training-solutions/" xr:uid="{00000000-0004-0000-0300-000011000000}"/>
    <hyperlink ref="L23" r:id="rId19" display="https://linkvisum.com/contract-vehicles/" xr:uid="{00000000-0004-0000-0300-000012000000}"/>
    <hyperlink ref="L24" r:id="rId20" display="https://lsidc.com/wp-content/uploads/2020/09/HCaTS_METCOR_LSI.pdf" xr:uid="{00000000-0004-0000-0300-000013000000}"/>
    <hyperlink ref="L25" r:id="rId21" display="http://www.pherson.org/hcats/" xr:uid="{00000000-0004-0000-0300-000014000000}"/>
    <hyperlink ref="L26" r:id="rId22" display="http://www.pitonscience.com/index.php/hcats" xr:uid="{00000000-0004-0000-0300-000015000000}"/>
    <hyperlink ref="L27" r:id="rId23" display="https://pfs.us/about/contract-vehicles/gsa-hcats/" xr:uid="{00000000-0004-0000-0300-000016000000}"/>
    <hyperlink ref="L28" r:id="rId24" display="https://www.r3consulting.com/human-capital-and-training-solutions-overview/" xr:uid="{00000000-0004-0000-0300-000017000000}"/>
    <hyperlink ref="L29" r:id="rId25" display="https://reedintegration.com/hcats/" xr:uid="{00000000-0004-0000-0300-000018000000}"/>
    <hyperlink ref="L30" r:id="rId26" display="http://www.whitespaceinnovations.com/workforce-innovations-human-capital-and-training-solutions/" xr:uid="{00000000-0004-0000-0300-000019000000}"/>
    <hyperlink ref="L31" r:id="rId27" display="https://www.tadegroup.com/contracts/hcats/" xr:uid="{00000000-0004-0000-0300-00001A000000}"/>
    <hyperlink ref="L32" r:id="rId28" display="http://www.teamcarney.com/working-with-carney/contract-vehicles/gsa-opm-hcats/" xr:uid="{00000000-0004-0000-0300-00001B000000}"/>
    <hyperlink ref="L33" r:id="rId29" display="https://www.agilegroupusa.com/hcats/" xr:uid="{00000000-0004-0000-0300-00001C000000}"/>
    <hyperlink ref="L34" r:id="rId30" display="https://arbinger.com/government.html" xr:uid="{00000000-0004-0000-0300-00001D000000}"/>
  </hyperlinks>
  <pageMargins left="0.2" right="0.2" top="0.2" bottom="0.2" header="0" footer="0"/>
  <pageSetup orientation="landscape"/>
  <tableParts count="1">
    <tablePart r:id="rId3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1155CC"/>
  </sheetPr>
  <dimension ref="A1:L41"/>
  <sheetViews>
    <sheetView workbookViewId="0">
      <pane xSplit="2" ySplit="3" topLeftCell="C4" activePane="bottomRight" state="frozen"/>
      <selection pane="topRight" activeCell="C1" sqref="C1"/>
      <selection pane="bottomLeft" activeCell="A4" sqref="A4"/>
      <selection pane="bottomRight" sqref="A1:XFD1048576"/>
    </sheetView>
  </sheetViews>
  <sheetFormatPr defaultColWidth="11.25" defaultRowHeight="31.5" customHeight="1" x14ac:dyDescent="0.35"/>
  <cols>
    <col min="1" max="1" width="15.6640625" customWidth="1"/>
    <col min="2" max="2" width="30.6640625" customWidth="1"/>
    <col min="3" max="3" width="13" customWidth="1"/>
    <col min="4" max="4" width="27.9140625" customWidth="1"/>
    <col min="5" max="11" width="7" customWidth="1"/>
    <col min="12" max="12" width="44.58203125" customWidth="1"/>
  </cols>
  <sheetData>
    <row r="1" spans="1:12" ht="31.5" customHeight="1" x14ac:dyDescent="0.35">
      <c r="A1" s="26" t="s">
        <v>33</v>
      </c>
      <c r="B1" s="27"/>
      <c r="C1" s="28"/>
      <c r="D1" s="27"/>
      <c r="E1" s="50"/>
      <c r="F1" s="50"/>
      <c r="G1" s="51"/>
      <c r="H1" s="51"/>
      <c r="I1" s="52"/>
      <c r="J1" s="52"/>
      <c r="K1" s="52"/>
      <c r="L1" s="32"/>
    </row>
    <row r="2" spans="1:12" ht="31.5" customHeight="1" x14ac:dyDescent="0.35">
      <c r="A2" s="81" t="s">
        <v>34</v>
      </c>
      <c r="B2" s="83" t="s">
        <v>17</v>
      </c>
      <c r="C2" s="83" t="s">
        <v>18</v>
      </c>
      <c r="D2" s="83" t="s">
        <v>19</v>
      </c>
      <c r="E2" s="85" t="s">
        <v>25</v>
      </c>
      <c r="F2" s="86"/>
      <c r="G2" s="86"/>
      <c r="H2" s="86"/>
      <c r="I2" s="86"/>
      <c r="J2" s="86"/>
      <c r="K2" s="87"/>
      <c r="L2" s="83" t="s">
        <v>20</v>
      </c>
    </row>
    <row r="3" spans="1:12" ht="31.5" customHeight="1" x14ac:dyDescent="0.35">
      <c r="A3" s="82"/>
      <c r="B3" s="84"/>
      <c r="C3" s="84"/>
      <c r="D3" s="84"/>
      <c r="E3" s="33" t="s">
        <v>26</v>
      </c>
      <c r="F3" s="34" t="s">
        <v>27</v>
      </c>
      <c r="G3" s="34" t="s">
        <v>28</v>
      </c>
      <c r="H3" s="34" t="s">
        <v>29</v>
      </c>
      <c r="I3" s="34" t="s">
        <v>30</v>
      </c>
      <c r="J3" s="34" t="s">
        <v>31</v>
      </c>
      <c r="K3" s="53" t="s">
        <v>32</v>
      </c>
      <c r="L3" s="84"/>
    </row>
    <row r="4" spans="1:12" ht="31.5" customHeight="1" x14ac:dyDescent="0.35">
      <c r="A4" s="36" t="str">
        <f ca="1">IFERROR(__xludf.DUMMYFUNCTION("Query(importrange(""https://docs.google.com/spreadsheets/d/1t10Foe1vTEZyMDsOA_q-Q29vy-Kz9U_eP3ItSEmmPak/edit#gid=525286931"",""HCaTS Master Contracts info!A2:AN137""),""SELECT Col4, Col13, Col16, Col17, Col32, Col33, Col34, Col35, Col36, Col37, Col38,Col2"&amp;"4 where Col4 is not null order by Col13"",0)"),"1")</f>
        <v>1</v>
      </c>
      <c r="B4" s="37"/>
      <c r="C4" s="38"/>
      <c r="D4" s="39"/>
      <c r="E4" s="40" t="str">
        <f ca="1">IFERROR(__xludf.DUMMYFUNCTION("""COMPUTED_VALUE"""),"0")</f>
        <v>0</v>
      </c>
      <c r="F4" s="40" t="str">
        <f ca="1">IFERROR(__xludf.DUMMYFUNCTION("""COMPUTED_VALUE"""),"0")</f>
        <v>0</v>
      </c>
      <c r="G4" s="40" t="str">
        <f ca="1">IFERROR(__xludf.DUMMYFUNCTION("""COMPUTED_VALUE"""),"0")</f>
        <v>0</v>
      </c>
      <c r="H4" s="40" t="str">
        <f ca="1">IFERROR(__xludf.DUMMYFUNCTION("""COMPUTED_VALUE"""),"0")</f>
        <v>0</v>
      </c>
      <c r="I4" s="40" t="str">
        <f ca="1">IFERROR(__xludf.DUMMYFUNCTION("""COMPUTED_VALUE"""),"0")</f>
        <v>0</v>
      </c>
      <c r="J4" s="40" t="str">
        <f ca="1">IFERROR(__xludf.DUMMYFUNCTION("""COMPUTED_VALUE"""),"0")</f>
        <v>0</v>
      </c>
      <c r="K4" s="40" t="str">
        <f ca="1">IFERROR(__xludf.DUMMYFUNCTION("""COMPUTED_VALUE"""),"0")</f>
        <v>0</v>
      </c>
      <c r="L4" s="39"/>
    </row>
    <row r="5" spans="1:12" ht="31.5" customHeight="1" x14ac:dyDescent="0.35">
      <c r="A5" s="41" t="str">
        <f ca="1">IFERROR(__xludf.DUMMYFUNCTION("""COMPUTED_VALUE"""),"GS02Q16DCR0082")</f>
        <v>GS02Q16DCR0082</v>
      </c>
      <c r="B5" s="42" t="str">
        <f ca="1">IFERROR(__xludf.DUMMYFUNCTION("""COMPUTED_VALUE"""),"A P Ventures, LLC")</f>
        <v>A P Ventures, LLC</v>
      </c>
      <c r="C5" s="43" t="str">
        <f ca="1">IFERROR(__xludf.DUMMYFUNCTION("""COMPUTED_VALUE"""),"CF46HNY9JH31")</f>
        <v>CF46HNY9JH31</v>
      </c>
      <c r="D5" s="44" t="str">
        <f ca="1">IFERROR(__xludf.DUMMYFUNCTION("""COMPUTED_VALUE"""),"9520 Berger Road, Suite 107, Columbia, MD 21046, U.S.A.")</f>
        <v>9520 Berger Road, Suite 107, Columbia, MD 21046, U.S.A.</v>
      </c>
      <c r="E5" s="45" t="str">
        <f ca="1">IFERROR(__xludf.DUMMYFUNCTION("""COMPUTED_VALUE"""),"Yes")</f>
        <v>Yes</v>
      </c>
      <c r="F5" s="45" t="str">
        <f ca="1">IFERROR(__xludf.DUMMYFUNCTION("""COMPUTED_VALUE"""),"...")</f>
        <v>...</v>
      </c>
      <c r="G5" s="45" t="str">
        <f ca="1">IFERROR(__xludf.DUMMYFUNCTION("""COMPUTED_VALUE"""),"...")</f>
        <v>...</v>
      </c>
      <c r="H5" s="45" t="str">
        <f ca="1">IFERROR(__xludf.DUMMYFUNCTION("""COMPUTED_VALUE"""),"...")</f>
        <v>...</v>
      </c>
      <c r="I5" s="45" t="str">
        <f ca="1">IFERROR(__xludf.DUMMYFUNCTION("""COMPUTED_VALUE"""),"...")</f>
        <v>...</v>
      </c>
      <c r="J5" s="45" t="str">
        <f ca="1">IFERROR(__xludf.DUMMYFUNCTION("""COMPUTED_VALUE"""),"Yes")</f>
        <v>Yes</v>
      </c>
      <c r="K5" s="45" t="str">
        <f ca="1">IFERROR(__xludf.DUMMYFUNCTION("""COMPUTED_VALUE"""),"Yes")</f>
        <v>Yes</v>
      </c>
      <c r="L5" s="46" t="str">
        <f ca="1">IFERROR(__xludf.DUMMYFUNCTION("""COMPUTED_VALUE"""),"https://www.apvit.com/ContractVehicles/hcats")</f>
        <v>https://www.apvit.com/ContractVehicles/hcats</v>
      </c>
    </row>
    <row r="6" spans="1:12" ht="31.5" customHeight="1" x14ac:dyDescent="0.35">
      <c r="A6" s="36" t="str">
        <f ca="1">IFERROR(__xludf.DUMMYFUNCTION("""COMPUTED_VALUE"""),"GS02Q17DCR0008")</f>
        <v>GS02Q17DCR0008</v>
      </c>
      <c r="B6" s="37" t="str">
        <f ca="1">IFERROR(__xludf.DUMMYFUNCTION("""COMPUTED_VALUE"""),"Advanced Computer Learning Company, LLC")</f>
        <v>Advanced Computer Learning Company, LLC</v>
      </c>
      <c r="C6" s="38" t="str">
        <f ca="1">IFERROR(__xludf.DUMMYFUNCTION("""COMPUTED_VALUE"""),"XV6JNSC2R3D7")</f>
        <v>XV6JNSC2R3D7</v>
      </c>
      <c r="D6" s="39" t="str">
        <f ca="1">IFERROR(__xludf.DUMMYFUNCTION("""COMPUTED_VALUE"""),"208 C Hay Street, Suite C, Fayetteville NC 28301")</f>
        <v>208 C Hay Street, Suite C, Fayetteville NC 28301</v>
      </c>
      <c r="E6" s="40" t="str">
        <f ca="1">IFERROR(__xludf.DUMMYFUNCTION("""COMPUTED_VALUE"""),"Yes")</f>
        <v>Yes</v>
      </c>
      <c r="F6" s="40" t="str">
        <f ca="1">IFERROR(__xludf.DUMMYFUNCTION("""COMPUTED_VALUE"""),"...")</f>
        <v>...</v>
      </c>
      <c r="G6" s="40" t="str">
        <f ca="1">IFERROR(__xludf.DUMMYFUNCTION("""COMPUTED_VALUE"""),"...")</f>
        <v>...</v>
      </c>
      <c r="H6" s="40" t="str">
        <f ca="1">IFERROR(__xludf.DUMMYFUNCTION("""COMPUTED_VALUE"""),"...")</f>
        <v>...</v>
      </c>
      <c r="I6" s="40" t="str">
        <f ca="1">IFERROR(__xludf.DUMMYFUNCTION("""COMPUTED_VALUE"""),"...")</f>
        <v>...</v>
      </c>
      <c r="J6" s="40" t="str">
        <f ca="1">IFERROR(__xludf.DUMMYFUNCTION("""COMPUTED_VALUE"""),"...")</f>
        <v>...</v>
      </c>
      <c r="K6" s="40" t="str">
        <f ca="1">IFERROR(__xludf.DUMMYFUNCTION("""COMPUTED_VALUE"""),"...")</f>
        <v>...</v>
      </c>
      <c r="L6" s="47" t="str">
        <f ca="1">IFERROR(__xludf.DUMMYFUNCTION("""COMPUTED_VALUE"""),"http://www.goaclc.com/hcats/")</f>
        <v>http://www.goaclc.com/hcats/</v>
      </c>
    </row>
    <row r="7" spans="1:12" ht="31.5" customHeight="1" x14ac:dyDescent="0.35">
      <c r="A7" s="41" t="str">
        <f ca="1">IFERROR(__xludf.DUMMYFUNCTION("""COMPUTED_VALUE"""),"GS02Q16DCR0083")</f>
        <v>GS02Q16DCR0083</v>
      </c>
      <c r="B7" s="42" t="str">
        <f ca="1">IFERROR(__xludf.DUMMYFUNCTION("""COMPUTED_VALUE"""),"AE Strategies, LLC")</f>
        <v>AE Strategies, LLC</v>
      </c>
      <c r="C7" s="43" t="str">
        <f ca="1">IFERROR(__xludf.DUMMYFUNCTION("""COMPUTED_VALUE"""),"JLFXUUKV4BU3")</f>
        <v>JLFXUUKV4BU3</v>
      </c>
      <c r="D7" s="44" t="str">
        <f ca="1">IFERROR(__xludf.DUMMYFUNCTION("""COMPUTED_VALUE"""),"1751 Pinnacle Drive Suite 600, McLean, VA 22102")</f>
        <v>1751 Pinnacle Drive Suite 600, McLean, VA 22102</v>
      </c>
      <c r="E7" s="45" t="str">
        <f ca="1">IFERROR(__xludf.DUMMYFUNCTION("""COMPUTED_VALUE"""),"...")</f>
        <v>...</v>
      </c>
      <c r="F7" s="45" t="str">
        <f ca="1">IFERROR(__xludf.DUMMYFUNCTION("""COMPUTED_VALUE"""),"...")</f>
        <v>...</v>
      </c>
      <c r="G7" s="45" t="str">
        <f ca="1">IFERROR(__xludf.DUMMYFUNCTION("""COMPUTED_VALUE"""),"...")</f>
        <v>...</v>
      </c>
      <c r="H7" s="45" t="str">
        <f ca="1">IFERROR(__xludf.DUMMYFUNCTION("""COMPUTED_VALUE"""),"...")</f>
        <v>...</v>
      </c>
      <c r="I7" s="45" t="str">
        <f ca="1">IFERROR(__xludf.DUMMYFUNCTION("""COMPUTED_VALUE"""),"...")</f>
        <v>...</v>
      </c>
      <c r="J7" s="45" t="str">
        <f ca="1">IFERROR(__xludf.DUMMYFUNCTION("""COMPUTED_VALUE"""),"...")</f>
        <v>...</v>
      </c>
      <c r="K7" s="45" t="str">
        <f ca="1">IFERROR(__xludf.DUMMYFUNCTION("""COMPUTED_VALUE"""),"...")</f>
        <v>...</v>
      </c>
      <c r="L7" s="46" t="str">
        <f ca="1">IFERROR(__xludf.DUMMYFUNCTION("""COMPUTED_VALUE"""),"https://www.aestrategies.com/hcats")</f>
        <v>https://www.aestrategies.com/hcats</v>
      </c>
    </row>
    <row r="8" spans="1:12" ht="31.5" customHeight="1" x14ac:dyDescent="0.35">
      <c r="A8" s="36" t="str">
        <f ca="1">IFERROR(__xludf.DUMMYFUNCTION("""COMPUTED_VALUE"""),"GS02Q17DCR0001")</f>
        <v>GS02Q17DCR0001</v>
      </c>
      <c r="B8" s="37" t="str">
        <f ca="1">IFERROR(__xludf.DUMMYFUNCTION("""COMPUTED_VALUE"""),"Arc Aspicio LLC")</f>
        <v>Arc Aspicio LLC</v>
      </c>
      <c r="C8" s="38" t="str">
        <f ca="1">IFERROR(__xludf.DUMMYFUNCTION("""COMPUTED_VALUE"""),"MQSAT9X7MNN7")</f>
        <v>MQSAT9X7MNN7</v>
      </c>
      <c r="D8" s="39" t="str">
        <f ca="1">IFERROR(__xludf.DUMMYFUNCTION("""COMPUTED_VALUE"""),"1725 I Street NW, Suite 300 Washington, D.C. 20006")</f>
        <v>1725 I Street NW, Suite 300 Washington, D.C. 20006</v>
      </c>
      <c r="E8" s="40" t="str">
        <f ca="1">IFERROR(__xludf.DUMMYFUNCTION("""COMPUTED_VALUE"""),"...")</f>
        <v>...</v>
      </c>
      <c r="F8" s="40" t="str">
        <f ca="1">IFERROR(__xludf.DUMMYFUNCTION("""COMPUTED_VALUE"""),"...")</f>
        <v>...</v>
      </c>
      <c r="G8" s="40" t="str">
        <f ca="1">IFERROR(__xludf.DUMMYFUNCTION("""COMPUTED_VALUE"""),"...")</f>
        <v>...</v>
      </c>
      <c r="H8" s="40" t="str">
        <f ca="1">IFERROR(__xludf.DUMMYFUNCTION("""COMPUTED_VALUE"""),"...")</f>
        <v>...</v>
      </c>
      <c r="I8" s="40" t="str">
        <f ca="1">IFERROR(__xludf.DUMMYFUNCTION("""COMPUTED_VALUE"""),"...")</f>
        <v>...</v>
      </c>
      <c r="J8" s="40" t="str">
        <f ca="1">IFERROR(__xludf.DUMMYFUNCTION("""COMPUTED_VALUE"""),"Yes")</f>
        <v>Yes</v>
      </c>
      <c r="K8" s="40" t="str">
        <f ca="1">IFERROR(__xludf.DUMMYFUNCTION("""COMPUTED_VALUE"""),"...")</f>
        <v>...</v>
      </c>
      <c r="L8" s="47" t="str">
        <f ca="1">IFERROR(__xludf.DUMMYFUNCTION("""COMPUTED_VALUE"""),"https://www.arcaspicio.com/contract-vehicles")</f>
        <v>https://www.arcaspicio.com/contract-vehicles</v>
      </c>
    </row>
    <row r="9" spans="1:12" ht="31.5" customHeight="1" x14ac:dyDescent="0.35">
      <c r="A9" s="41" t="str">
        <f ca="1">IFERROR(__xludf.DUMMYFUNCTION("""COMPUTED_VALUE"""),"GS02Q17DCR0005")</f>
        <v>GS02Q17DCR0005</v>
      </c>
      <c r="B9" s="42" t="str">
        <f ca="1">IFERROR(__xludf.DUMMYFUNCTION("""COMPUTED_VALUE"""),"Avani Services, LLC (FKA McKinley Group, LLC)")</f>
        <v>Avani Services, LLC (FKA McKinley Group, LLC)</v>
      </c>
      <c r="C9" s="43" t="str">
        <f ca="1">IFERROR(__xludf.DUMMYFUNCTION("""COMPUTED_VALUE"""),"MS1BCDHRWS67")</f>
        <v>MS1BCDHRWS67</v>
      </c>
      <c r="D9" s="44" t="str">
        <f ca="1">IFERROR(__xludf.DUMMYFUNCTION("""COMPUTED_VALUE"""),"9210 Corporate BLVD, Suite 360, Rockville, MD 20850")</f>
        <v>9210 Corporate BLVD, Suite 360, Rockville, MD 20850</v>
      </c>
      <c r="E9" s="45" t="str">
        <f ca="1">IFERROR(__xludf.DUMMYFUNCTION("""COMPUTED_VALUE"""),"Yes")</f>
        <v>Yes</v>
      </c>
      <c r="F9" s="45" t="str">
        <f ca="1">IFERROR(__xludf.DUMMYFUNCTION("""COMPUTED_VALUE"""),"...")</f>
        <v>...</v>
      </c>
      <c r="G9" s="45" t="str">
        <f ca="1">IFERROR(__xludf.DUMMYFUNCTION("""COMPUTED_VALUE"""),"...")</f>
        <v>...</v>
      </c>
      <c r="H9" s="45" t="str">
        <f ca="1">IFERROR(__xludf.DUMMYFUNCTION("""COMPUTED_VALUE"""),"...")</f>
        <v>...</v>
      </c>
      <c r="I9" s="45" t="str">
        <f ca="1">IFERROR(__xludf.DUMMYFUNCTION("""COMPUTED_VALUE"""),"...")</f>
        <v>...</v>
      </c>
      <c r="J9" s="45" t="str">
        <f ca="1">IFERROR(__xludf.DUMMYFUNCTION("""COMPUTED_VALUE"""),"...")</f>
        <v>...</v>
      </c>
      <c r="K9" s="45" t="str">
        <f ca="1">IFERROR(__xludf.DUMMYFUNCTION("""COMPUTED_VALUE"""),"...")</f>
        <v>...</v>
      </c>
      <c r="L9" s="46" t="str">
        <f ca="1">IFERROR(__xludf.DUMMYFUNCTION("""COMPUTED_VALUE"""),"https://www.mckinleygroup.net/hcats/")</f>
        <v>https://www.mckinleygroup.net/hcats/</v>
      </c>
    </row>
    <row r="10" spans="1:12" ht="31.5" customHeight="1" x14ac:dyDescent="0.35">
      <c r="A10" s="36" t="str">
        <f ca="1">IFERROR(__xludf.DUMMYFUNCTION("""COMPUTED_VALUE"""),"47QREB21D0045")</f>
        <v>47QREB21D0045</v>
      </c>
      <c r="B10" s="37" t="str">
        <f ca="1">IFERROR(__xludf.DUMMYFUNCTION("""COMPUTED_VALUE"""),"Censeo Consulting Group, Inc")</f>
        <v>Censeo Consulting Group, Inc</v>
      </c>
      <c r="C10" s="38" t="str">
        <f ca="1">IFERROR(__xludf.DUMMYFUNCTION("""COMPUTED_VALUE"""),"U54SGG4D2WD6")</f>
        <v>U54SGG4D2WD6</v>
      </c>
      <c r="D10" s="39" t="str">
        <f ca="1">IFERROR(__xludf.DUMMYFUNCTION("""COMPUTED_VALUE"""),"1776 I ST NW STE 1030, WASHINGTON, DC 20006-3760")</f>
        <v>1776 I ST NW STE 1030, WASHINGTON, DC 20006-3760</v>
      </c>
      <c r="E10" s="40" t="str">
        <f ca="1">IFERROR(__xludf.DUMMYFUNCTION("""COMPUTED_VALUE"""),"...")</f>
        <v>...</v>
      </c>
      <c r="F10" s="40" t="str">
        <f ca="1">IFERROR(__xludf.DUMMYFUNCTION("""COMPUTED_VALUE"""),"...")</f>
        <v>...</v>
      </c>
      <c r="G10" s="40" t="str">
        <f ca="1">IFERROR(__xludf.DUMMYFUNCTION("""COMPUTED_VALUE"""),"...")</f>
        <v>...</v>
      </c>
      <c r="H10" s="40" t="str">
        <f ca="1">IFERROR(__xludf.DUMMYFUNCTION("""COMPUTED_VALUE"""),"...")</f>
        <v>...</v>
      </c>
      <c r="I10" s="40" t="str">
        <f ca="1">IFERROR(__xludf.DUMMYFUNCTION("""COMPUTED_VALUE"""),"...")</f>
        <v>...</v>
      </c>
      <c r="J10" s="40" t="str">
        <f ca="1">IFERROR(__xludf.DUMMYFUNCTION("""COMPUTED_VALUE"""),"...")</f>
        <v>...</v>
      </c>
      <c r="K10" s="40" t="str">
        <f ca="1">IFERROR(__xludf.DUMMYFUNCTION("""COMPUTED_VALUE"""),"...")</f>
        <v>...</v>
      </c>
      <c r="L10" s="47" t="str">
        <f ca="1">IFERROR(__xludf.DUMMYFUNCTION("""COMPUTED_VALUE"""),"https://www.censeoconsulting.com/human-capital-and-training-solutions-hcats/")</f>
        <v>https://www.censeoconsulting.com/human-capital-and-training-solutions-hcats/</v>
      </c>
    </row>
    <row r="11" spans="1:12" ht="31.5" customHeight="1" x14ac:dyDescent="0.35">
      <c r="A11" s="41" t="str">
        <f ca="1">IFERROR(__xludf.DUMMYFUNCTION("""COMPUTED_VALUE"""),"GS02Q16DCR0085")</f>
        <v>GS02Q16DCR0085</v>
      </c>
      <c r="B11" s="42" t="str">
        <f ca="1">IFERROR(__xludf.DUMMYFUNCTION("""COMPUTED_VALUE"""),"CG Strategy, Inc")</f>
        <v>CG Strategy, Inc</v>
      </c>
      <c r="C11" s="43" t="str">
        <f ca="1">IFERROR(__xludf.DUMMYFUNCTION("""COMPUTED_VALUE"""),"F6NMHL3KV2A8")</f>
        <v>F6NMHL3KV2A8</v>
      </c>
      <c r="D11" s="44" t="str">
        <f ca="1">IFERROR(__xludf.DUMMYFUNCTION("""COMPUTED_VALUE"""),"PO Box 40607
Arlington, VA 22204")</f>
        <v>PO Box 40607
Arlington, VA 22204</v>
      </c>
      <c r="E11" s="45" t="str">
        <f ca="1">IFERROR(__xludf.DUMMYFUNCTION("""COMPUTED_VALUE"""),"...")</f>
        <v>...</v>
      </c>
      <c r="F11" s="45" t="str">
        <f ca="1">IFERROR(__xludf.DUMMYFUNCTION("""COMPUTED_VALUE"""),"...")</f>
        <v>...</v>
      </c>
      <c r="G11" s="45" t="str">
        <f ca="1">IFERROR(__xludf.DUMMYFUNCTION("""COMPUTED_VALUE"""),"...")</f>
        <v>...</v>
      </c>
      <c r="H11" s="45" t="str">
        <f ca="1">IFERROR(__xludf.DUMMYFUNCTION("""COMPUTED_VALUE"""),"...")</f>
        <v>...</v>
      </c>
      <c r="I11" s="45" t="str">
        <f ca="1">IFERROR(__xludf.DUMMYFUNCTION("""COMPUTED_VALUE"""),"...")</f>
        <v>...</v>
      </c>
      <c r="J11" s="45" t="str">
        <f ca="1">IFERROR(__xludf.DUMMYFUNCTION("""COMPUTED_VALUE"""),"Yes")</f>
        <v>Yes</v>
      </c>
      <c r="K11" s="45" t="str">
        <f ca="1">IFERROR(__xludf.DUMMYFUNCTION("""COMPUTED_VALUE"""),"...")</f>
        <v>...</v>
      </c>
      <c r="L11" s="46" t="str">
        <f ca="1">IFERROR(__xludf.DUMMYFUNCTION("""COMPUTED_VALUE"""),"https://cherokee-federal.com/contract-vehicles")</f>
        <v>https://cherokee-federal.com/contract-vehicles</v>
      </c>
    </row>
    <row r="12" spans="1:12" ht="31.5" customHeight="1" x14ac:dyDescent="0.35">
      <c r="A12" s="36" t="str">
        <f ca="1">IFERROR(__xludf.DUMMYFUNCTION("""COMPUTED_VALUE"""),"GS02Q16DCR0092")</f>
        <v>GS02Q16DCR0092</v>
      </c>
      <c r="B12" s="37" t="str">
        <f ca="1">IFERROR(__xludf.DUMMYFUNCTION("""COMPUTED_VALUE"""),"Deep Mile Networks, LLC")</f>
        <v>Deep Mile Networks, LLC</v>
      </c>
      <c r="C12" s="38" t="str">
        <f ca="1">IFERROR(__xludf.DUMMYFUNCTION("""COMPUTED_VALUE"""),"KJQXXKB5WF89")</f>
        <v>KJQXXKB5WF89</v>
      </c>
      <c r="D12" s="39" t="str">
        <f ca="1">IFERROR(__xludf.DUMMYFUNCTION("""COMPUTED_VALUE"""),"1934 Old Gallows Road, Suite 350
Vienna, VA 22182-4050")</f>
        <v>1934 Old Gallows Road, Suite 350
Vienna, VA 22182-4050</v>
      </c>
      <c r="E12" s="40" t="str">
        <f ca="1">IFERROR(__xludf.DUMMYFUNCTION("""COMPUTED_VALUE"""),"...")</f>
        <v>...</v>
      </c>
      <c r="F12" s="40" t="str">
        <f ca="1">IFERROR(__xludf.DUMMYFUNCTION("""COMPUTED_VALUE"""),"...")</f>
        <v>...</v>
      </c>
      <c r="G12" s="40" t="str">
        <f ca="1">IFERROR(__xludf.DUMMYFUNCTION("""COMPUTED_VALUE"""),"...")</f>
        <v>...</v>
      </c>
      <c r="H12" s="40" t="str">
        <f ca="1">IFERROR(__xludf.DUMMYFUNCTION("""COMPUTED_VALUE"""),"...")</f>
        <v>...</v>
      </c>
      <c r="I12" s="40" t="str">
        <f ca="1">IFERROR(__xludf.DUMMYFUNCTION("""COMPUTED_VALUE"""),"...")</f>
        <v>...</v>
      </c>
      <c r="J12" s="40" t="str">
        <f ca="1">IFERROR(__xludf.DUMMYFUNCTION("""COMPUTED_VALUE"""),"...")</f>
        <v>...</v>
      </c>
      <c r="K12" s="40" t="str">
        <f ca="1">IFERROR(__xludf.DUMMYFUNCTION("""COMPUTED_VALUE"""),"...")</f>
        <v>...</v>
      </c>
      <c r="L12" s="47" t="str">
        <f ca="1">IFERROR(__xludf.DUMMYFUNCTION("""COMPUTED_VALUE"""),"https://deepmile.com/hcatssb/")</f>
        <v>https://deepmile.com/hcatssb/</v>
      </c>
    </row>
    <row r="13" spans="1:12" ht="31.5" customHeight="1" x14ac:dyDescent="0.35">
      <c r="A13" s="41" t="str">
        <f ca="1">IFERROR(__xludf.DUMMYFUNCTION("""COMPUTED_VALUE"""),"GS02Q16DCR0087")</f>
        <v>GS02Q16DCR0087</v>
      </c>
      <c r="B13" s="42" t="str">
        <f ca="1">IFERROR(__xludf.DUMMYFUNCTION("""COMPUTED_VALUE"""),"Duty First Consulting, LLC")</f>
        <v>Duty First Consulting, LLC</v>
      </c>
      <c r="C13" s="43" t="str">
        <f ca="1">IFERROR(__xludf.DUMMYFUNCTION("""COMPUTED_VALUE"""),"Q9LAZK8AELW8")</f>
        <v>Q9LAZK8AELW8</v>
      </c>
      <c r="D13" s="44" t="str">
        <f ca="1">IFERROR(__xludf.DUMMYFUNCTION("""COMPUTED_VALUE"""),"2650 Park Tower Dr., Ste. 100 Vienna, VA 22180")</f>
        <v>2650 Park Tower Dr., Ste. 100 Vienna, VA 22180</v>
      </c>
      <c r="E13" s="45" t="str">
        <f ca="1">IFERROR(__xludf.DUMMYFUNCTION("""COMPUTED_VALUE"""),"...")</f>
        <v>...</v>
      </c>
      <c r="F13" s="45" t="str">
        <f ca="1">IFERROR(__xludf.DUMMYFUNCTION("""COMPUTED_VALUE"""),"...")</f>
        <v>...</v>
      </c>
      <c r="G13" s="45" t="str">
        <f ca="1">IFERROR(__xludf.DUMMYFUNCTION("""COMPUTED_VALUE"""),"Yes")</f>
        <v>Yes</v>
      </c>
      <c r="H13" s="45" t="str">
        <f ca="1">IFERROR(__xludf.DUMMYFUNCTION("""COMPUTED_VALUE"""),"Yes")</f>
        <v>Yes</v>
      </c>
      <c r="I13" s="45" t="str">
        <f ca="1">IFERROR(__xludf.DUMMYFUNCTION("""COMPUTED_VALUE"""),"Yes")</f>
        <v>Yes</v>
      </c>
      <c r="J13" s="45" t="str">
        <f ca="1">IFERROR(__xludf.DUMMYFUNCTION("""COMPUTED_VALUE"""),"...")</f>
        <v>...</v>
      </c>
      <c r="K13" s="45" t="str">
        <f ca="1">IFERROR(__xludf.DUMMYFUNCTION("""COMPUTED_VALUE"""),"...")</f>
        <v>...</v>
      </c>
      <c r="L13" s="46" t="str">
        <f ca="1">IFERROR(__xludf.DUMMYFUNCTION("""COMPUTED_VALUE"""),"https://www.dutyfirst.com/services/contract-vehicles/")</f>
        <v>https://www.dutyfirst.com/services/contract-vehicles/</v>
      </c>
    </row>
    <row r="14" spans="1:12" ht="31.5" customHeight="1" x14ac:dyDescent="0.35">
      <c r="A14" s="36" t="str">
        <f ca="1">IFERROR(__xludf.DUMMYFUNCTION("""COMPUTED_VALUE"""),"GS02Q16DCR0090")</f>
        <v>GS02Q16DCR0090</v>
      </c>
      <c r="B14" s="37" t="str">
        <f ca="1">IFERROR(__xludf.DUMMYFUNCTION("""COMPUTED_VALUE"""),"E-PAGA, INC")</f>
        <v>E-PAGA, INC</v>
      </c>
      <c r="C14" s="38" t="str">
        <f ca="1">IFERROR(__xludf.DUMMYFUNCTION("""COMPUTED_VALUE"""),"CW15L7CZ9LE6")</f>
        <v>CW15L7CZ9LE6</v>
      </c>
      <c r="D14" s="39" t="str">
        <f ca="1">IFERROR(__xludf.DUMMYFUNCTION("""COMPUTED_VALUE"""),"9201 Corporate Boulevard, Suite 430, Rockville, MD 20850")</f>
        <v>9201 Corporate Boulevard, Suite 430, Rockville, MD 20850</v>
      </c>
      <c r="E14" s="40" t="str">
        <f ca="1">IFERROR(__xludf.DUMMYFUNCTION("""COMPUTED_VALUE"""),"Yes")</f>
        <v>Yes</v>
      </c>
      <c r="F14" s="40" t="str">
        <f ca="1">IFERROR(__xludf.DUMMYFUNCTION("""COMPUTED_VALUE"""),"...")</f>
        <v>...</v>
      </c>
      <c r="G14" s="40" t="str">
        <f ca="1">IFERROR(__xludf.DUMMYFUNCTION("""COMPUTED_VALUE"""),"...")</f>
        <v>...</v>
      </c>
      <c r="H14" s="40" t="str">
        <f ca="1">IFERROR(__xludf.DUMMYFUNCTION("""COMPUTED_VALUE"""),"...")</f>
        <v>...</v>
      </c>
      <c r="I14" s="40" t="str">
        <f ca="1">IFERROR(__xludf.DUMMYFUNCTION("""COMPUTED_VALUE"""),"...")</f>
        <v>...</v>
      </c>
      <c r="J14" s="40" t="str">
        <f ca="1">IFERROR(__xludf.DUMMYFUNCTION("""COMPUTED_VALUE"""),"...")</f>
        <v>...</v>
      </c>
      <c r="K14" s="40" t="str">
        <f ca="1">IFERROR(__xludf.DUMMYFUNCTION("""COMPUTED_VALUE"""),"...")</f>
        <v>...</v>
      </c>
      <c r="L14" s="47" t="str">
        <f ca="1">IFERROR(__xludf.DUMMYFUNCTION("""COMPUTED_VALUE"""),"https://www.e-paga.com/hcats-sb/")</f>
        <v>https://www.e-paga.com/hcats-sb/</v>
      </c>
    </row>
    <row r="15" spans="1:12" ht="31.5" customHeight="1" x14ac:dyDescent="0.35">
      <c r="A15" s="41" t="str">
        <f ca="1">IFERROR(__xludf.DUMMYFUNCTION("""COMPUTED_VALUE"""),"GS02Q16DCR0091")</f>
        <v>GS02Q16DCR0091</v>
      </c>
      <c r="B15" s="42" t="str">
        <f ca="1">IFERROR(__xludf.DUMMYFUNCTION("""COMPUTED_VALUE"""),"FYI-For Your Information, Inc")</f>
        <v>FYI-For Your Information, Inc</v>
      </c>
      <c r="C15" s="43" t="str">
        <f ca="1">IFERROR(__xludf.DUMMYFUNCTION("""COMPUTED_VALUE"""),"RB12LWUDKK41")</f>
        <v>RB12LWUDKK41</v>
      </c>
      <c r="D15" s="44" t="str">
        <f ca="1">IFERROR(__xludf.DUMMYFUNCTION("""COMPUTED_VALUE"""),"8484 Georgia Avenue, Suite 220, Silver Spring, MD 20910-5604")</f>
        <v>8484 Georgia Avenue, Suite 220, Silver Spring, MD 20910-5604</v>
      </c>
      <c r="E15" s="45" t="str">
        <f ca="1">IFERROR(__xludf.DUMMYFUNCTION("""COMPUTED_VALUE"""),"...")</f>
        <v>...</v>
      </c>
      <c r="F15" s="45" t="str">
        <f ca="1">IFERROR(__xludf.DUMMYFUNCTION("""COMPUTED_VALUE"""),"...")</f>
        <v>...</v>
      </c>
      <c r="G15" s="45" t="str">
        <f ca="1">IFERROR(__xludf.DUMMYFUNCTION("""COMPUTED_VALUE"""),"...")</f>
        <v>...</v>
      </c>
      <c r="H15" s="45" t="str">
        <f ca="1">IFERROR(__xludf.DUMMYFUNCTION("""COMPUTED_VALUE"""),"...")</f>
        <v>...</v>
      </c>
      <c r="I15" s="45" t="str">
        <f ca="1">IFERROR(__xludf.DUMMYFUNCTION("""COMPUTED_VALUE"""),"...")</f>
        <v>...</v>
      </c>
      <c r="J15" s="45" t="str">
        <f ca="1">IFERROR(__xludf.DUMMYFUNCTION("""COMPUTED_VALUE"""),"Yes")</f>
        <v>Yes</v>
      </c>
      <c r="K15" s="45" t="str">
        <f ca="1">IFERROR(__xludf.DUMMYFUNCTION("""COMPUTED_VALUE"""),"...")</f>
        <v>...</v>
      </c>
      <c r="L15" s="46" t="str">
        <f ca="1">IFERROR(__xludf.DUMMYFUNCTION("""COMPUTED_VALUE"""),"http://www.fyinfo.com")</f>
        <v>http://www.fyinfo.com</v>
      </c>
    </row>
    <row r="16" spans="1:12" ht="31.5" customHeight="1" x14ac:dyDescent="0.35">
      <c r="A16" s="36" t="str">
        <f ca="1">IFERROR(__xludf.DUMMYFUNCTION("""COMPUTED_VALUE"""),"47QREB21D0046")</f>
        <v>47QREB21D0046</v>
      </c>
      <c r="B16" s="37" t="str">
        <f ca="1">IFERROR(__xludf.DUMMYFUNCTION("""COMPUTED_VALUE"""),"HigherEchelon, Inc")</f>
        <v>HigherEchelon, Inc</v>
      </c>
      <c r="C16" s="38" t="str">
        <f ca="1">IFERROR(__xludf.DUMMYFUNCTION("""COMPUTED_VALUE"""),"L6YCF5ND7E55")</f>
        <v>L6YCF5ND7E55</v>
      </c>
      <c r="D16" s="39" t="str">
        <f ca="1">IFERROR(__xludf.DUMMYFUNCTION("""COMPUTED_VALUE"""),"101 Lowe Ave SE Ste 3B
Huntsville, AL, 35801-4220")</f>
        <v>101 Lowe Ave SE Ste 3B
Huntsville, AL, 35801-4220</v>
      </c>
      <c r="E16" s="40" t="str">
        <f ca="1">IFERROR(__xludf.DUMMYFUNCTION("""COMPUTED_VALUE"""),"...")</f>
        <v>...</v>
      </c>
      <c r="F16" s="40" t="str">
        <f ca="1">IFERROR(__xludf.DUMMYFUNCTION("""COMPUTED_VALUE"""),"...")</f>
        <v>...</v>
      </c>
      <c r="G16" s="40" t="str">
        <f ca="1">IFERROR(__xludf.DUMMYFUNCTION("""COMPUTED_VALUE"""),"Yes")</f>
        <v>Yes</v>
      </c>
      <c r="H16" s="40" t="str">
        <f ca="1">IFERROR(__xludf.DUMMYFUNCTION("""COMPUTED_VALUE"""),"Yes")</f>
        <v>Yes</v>
      </c>
      <c r="I16" s="40" t="str">
        <f ca="1">IFERROR(__xludf.DUMMYFUNCTION("""COMPUTED_VALUE"""),"Yes")</f>
        <v>Yes</v>
      </c>
      <c r="J16" s="40" t="str">
        <f ca="1">IFERROR(__xludf.DUMMYFUNCTION("""COMPUTED_VALUE"""),"...")</f>
        <v>...</v>
      </c>
      <c r="K16" s="40" t="str">
        <f ca="1">IFERROR(__xludf.DUMMYFUNCTION("""COMPUTED_VALUE"""),"...")</f>
        <v>...</v>
      </c>
      <c r="L16" s="47" t="str">
        <f ca="1">IFERROR(__xludf.DUMMYFUNCTION("""COMPUTED_VALUE"""),"https://www.higherechelon.com/who-we-serve/human-capital-and-training-solutions-hcats-small-business-pool-1/")</f>
        <v>https://www.higherechelon.com/who-we-serve/human-capital-and-training-solutions-hcats-small-business-pool-1/</v>
      </c>
    </row>
    <row r="17" spans="1:12" ht="31.5" customHeight="1" x14ac:dyDescent="0.35">
      <c r="A17" s="41" t="str">
        <f ca="1">IFERROR(__xludf.DUMMYFUNCTION("""COMPUTED_VALUE"""),"GS02Q16DCR0093")</f>
        <v>GS02Q16DCR0093</v>
      </c>
      <c r="B17" s="42" t="str">
        <f ca="1">IFERROR(__xludf.DUMMYFUNCTION("""COMPUTED_VALUE"""),"Jefferson Consulting Group, LLC")</f>
        <v>Jefferson Consulting Group, LLC</v>
      </c>
      <c r="C17" s="43" t="str">
        <f ca="1">IFERROR(__xludf.DUMMYFUNCTION("""COMPUTED_VALUE"""),"PS8NEAKW1MM4")</f>
        <v>PS8NEAKW1MM4</v>
      </c>
      <c r="D17" s="44" t="str">
        <f ca="1">IFERROR(__xludf.DUMMYFUNCTION("""COMPUTED_VALUE"""),"1666 K St. NW Ste 1250 Washington, DC 20006")</f>
        <v>1666 K St. NW Ste 1250 Washington, DC 20006</v>
      </c>
      <c r="E17" s="45" t="str">
        <f ca="1">IFERROR(__xludf.DUMMYFUNCTION("""COMPUTED_VALUE"""),"...")</f>
        <v>...</v>
      </c>
      <c r="F17" s="45" t="str">
        <f ca="1">IFERROR(__xludf.DUMMYFUNCTION("""COMPUTED_VALUE"""),"...")</f>
        <v>...</v>
      </c>
      <c r="G17" s="45" t="str">
        <f ca="1">IFERROR(__xludf.DUMMYFUNCTION("""COMPUTED_VALUE"""),"...")</f>
        <v>...</v>
      </c>
      <c r="H17" s="45" t="str">
        <f ca="1">IFERROR(__xludf.DUMMYFUNCTION("""COMPUTED_VALUE"""),"...")</f>
        <v>...</v>
      </c>
      <c r="I17" s="45" t="str">
        <f ca="1">IFERROR(__xludf.DUMMYFUNCTION("""COMPUTED_VALUE"""),"...")</f>
        <v>...</v>
      </c>
      <c r="J17" s="45" t="str">
        <f ca="1">IFERROR(__xludf.DUMMYFUNCTION("""COMPUTED_VALUE"""),"Yes")</f>
        <v>Yes</v>
      </c>
      <c r="K17" s="45" t="str">
        <f ca="1">IFERROR(__xludf.DUMMYFUNCTION("""COMPUTED_VALUE"""),"...")</f>
        <v>...</v>
      </c>
      <c r="L17" s="46" t="str">
        <f ca="1">IFERROR(__xludf.DUMMYFUNCTION("""COMPUTED_VALUE"""),"https://www.jeffersonsolutions.net/hcats/")</f>
        <v>https://www.jeffersonsolutions.net/hcats/</v>
      </c>
    </row>
    <row r="18" spans="1:12" ht="31.5" customHeight="1" x14ac:dyDescent="0.35">
      <c r="A18" s="36" t="str">
        <f ca="1">IFERROR(__xludf.DUMMYFUNCTION("""COMPUTED_VALUE"""),"GS02Q16DCR0094")</f>
        <v>GS02Q16DCR0094</v>
      </c>
      <c r="B18" s="37" t="str">
        <f ca="1">IFERROR(__xludf.DUMMYFUNCTION("""COMPUTED_VALUE"""),"Job Performance Systems, Inc")</f>
        <v>Job Performance Systems, Inc</v>
      </c>
      <c r="C18" s="38" t="str">
        <f ca="1">IFERROR(__xludf.DUMMYFUNCTION("""COMPUTED_VALUE"""),"LYYEPDNMH4M1")</f>
        <v>LYYEPDNMH4M1</v>
      </c>
      <c r="D18" s="39" t="str">
        <f ca="1">IFERROR(__xludf.DUMMYFUNCTION("""COMPUTED_VALUE"""),"100 N. Pitt St., Suite 425
Alexandria, VA  22314")</f>
        <v>100 N. Pitt St., Suite 425
Alexandria, VA  22314</v>
      </c>
      <c r="E18" s="40" t="str">
        <f ca="1">IFERROR(__xludf.DUMMYFUNCTION("""COMPUTED_VALUE"""),"...")</f>
        <v>...</v>
      </c>
      <c r="F18" s="40" t="str">
        <f ca="1">IFERROR(__xludf.DUMMYFUNCTION("""COMPUTED_VALUE"""),"...")</f>
        <v>...</v>
      </c>
      <c r="G18" s="40" t="str">
        <f ca="1">IFERROR(__xludf.DUMMYFUNCTION("""COMPUTED_VALUE"""),"...")</f>
        <v>...</v>
      </c>
      <c r="H18" s="40" t="str">
        <f ca="1">IFERROR(__xludf.DUMMYFUNCTION("""COMPUTED_VALUE"""),"...")</f>
        <v>...</v>
      </c>
      <c r="I18" s="40" t="str">
        <f ca="1">IFERROR(__xludf.DUMMYFUNCTION("""COMPUTED_VALUE"""),"...")</f>
        <v>...</v>
      </c>
      <c r="J18" s="40" t="str">
        <f ca="1">IFERROR(__xludf.DUMMYFUNCTION("""COMPUTED_VALUE"""),"...")</f>
        <v>...</v>
      </c>
      <c r="K18" s="40" t="str">
        <f ca="1">IFERROR(__xludf.DUMMYFUNCTION("""COMPUTED_VALUE"""),"...")</f>
        <v>...</v>
      </c>
      <c r="L18" s="47" t="str">
        <f ca="1">IFERROR(__xludf.DUMMYFUNCTION("""COMPUTED_VALUE"""),"https://www.jps-usa.com/home.html")</f>
        <v>https://www.jps-usa.com/home.html</v>
      </c>
    </row>
    <row r="19" spans="1:12" ht="31.5" customHeight="1" x14ac:dyDescent="0.35">
      <c r="A19" s="41" t="str">
        <f ca="1">IFERROR(__xludf.DUMMYFUNCTION("""COMPUTED_VALUE"""),"47QREB22D0008")</f>
        <v>47QREB22D0008</v>
      </c>
      <c r="B19" s="42" t="str">
        <f ca="1">IFERROR(__xludf.DUMMYFUNCTION("""COMPUTED_VALUE"""),"JRogers Consulting, LLC")</f>
        <v>JRogers Consulting, LLC</v>
      </c>
      <c r="C19" s="43" t="str">
        <f ca="1">IFERROR(__xludf.DUMMYFUNCTION("""COMPUTED_VALUE"""),"MLK4CUNSR5K5")</f>
        <v>MLK4CUNSR5K5</v>
      </c>
      <c r="D19" s="44" t="str">
        <f ca="1">IFERROR(__xludf.DUMMYFUNCTION("""COMPUTED_VALUE"""),"14 Rosecrest Ave
Alexandria, VA, 22301-1528 ")</f>
        <v xml:space="preserve">14 Rosecrest Ave
Alexandria, VA, 22301-1528 </v>
      </c>
      <c r="E19" s="45" t="str">
        <f ca="1">IFERROR(__xludf.DUMMYFUNCTION("""COMPUTED_VALUE"""),"...")</f>
        <v>...</v>
      </c>
      <c r="F19" s="45" t="str">
        <f ca="1">IFERROR(__xludf.DUMMYFUNCTION("""COMPUTED_VALUE"""),"...")</f>
        <v>...</v>
      </c>
      <c r="G19" s="45" t="str">
        <f ca="1">IFERROR(__xludf.DUMMYFUNCTION("""COMPUTED_VALUE"""),"...")</f>
        <v>...</v>
      </c>
      <c r="H19" s="45" t="str">
        <f ca="1">IFERROR(__xludf.DUMMYFUNCTION("""COMPUTED_VALUE"""),"...")</f>
        <v>...</v>
      </c>
      <c r="I19" s="45" t="str">
        <f ca="1">IFERROR(__xludf.DUMMYFUNCTION("""COMPUTED_VALUE"""),"...")</f>
        <v>...</v>
      </c>
      <c r="J19" s="45" t="str">
        <f ca="1">IFERROR(__xludf.DUMMYFUNCTION("""COMPUTED_VALUE"""),"Yes")</f>
        <v>Yes</v>
      </c>
      <c r="K19" s="45" t="str">
        <f ca="1">IFERROR(__xludf.DUMMYFUNCTION("""COMPUTED_VALUE"""),"...")</f>
        <v>...</v>
      </c>
      <c r="L19" s="46" t="str">
        <f ca="1">IFERROR(__xludf.DUMMYFUNCTION("""COMPUTED_VALUE"""),"https://hcatssb.jrcllc.com/")</f>
        <v>https://hcatssb.jrcllc.com/</v>
      </c>
    </row>
    <row r="20" spans="1:12" ht="31.5" customHeight="1" x14ac:dyDescent="0.35">
      <c r="A20" s="36" t="str">
        <f ca="1">IFERROR(__xludf.DUMMYFUNCTION("""COMPUTED_VALUE"""),"47QREB22D0002")</f>
        <v>47QREB22D0002</v>
      </c>
      <c r="B20" s="37" t="str">
        <f ca="1">IFERROR(__xludf.DUMMYFUNCTION("""COMPUTED_VALUE"""),"KeyBridge Technologies, Inc")</f>
        <v>KeyBridge Technologies, Inc</v>
      </c>
      <c r="C20" s="38" t="str">
        <f ca="1">IFERROR(__xludf.DUMMYFUNCTION("""COMPUTED_VALUE"""),"ME9KE1Y5HCR8")</f>
        <v>ME9KE1Y5HCR8</v>
      </c>
      <c r="D20" s="39" t="str">
        <f ca="1">IFERROR(__xludf.DUMMYFUNCTION("""COMPUTED_VALUE"""),"4415 Highline Boulevard, STE 100, Oklahoma City, OK 73108-1899")</f>
        <v>4415 Highline Boulevard, STE 100, Oklahoma City, OK 73108-1899</v>
      </c>
      <c r="E20" s="40" t="str">
        <f ca="1">IFERROR(__xludf.DUMMYFUNCTION("""COMPUTED_VALUE"""),"Yes")</f>
        <v>Yes</v>
      </c>
      <c r="F20" s="40" t="str">
        <f ca="1">IFERROR(__xludf.DUMMYFUNCTION("""COMPUTED_VALUE"""),"...")</f>
        <v>...</v>
      </c>
      <c r="G20" s="40" t="str">
        <f ca="1">IFERROR(__xludf.DUMMYFUNCTION("""COMPUTED_VALUE"""),"...")</f>
        <v>...</v>
      </c>
      <c r="H20" s="40" t="str">
        <f ca="1">IFERROR(__xludf.DUMMYFUNCTION("""COMPUTED_VALUE"""),"...")</f>
        <v>...</v>
      </c>
      <c r="I20" s="40" t="str">
        <f ca="1">IFERROR(__xludf.DUMMYFUNCTION("""COMPUTED_VALUE"""),"...")</f>
        <v>...</v>
      </c>
      <c r="J20" s="40" t="str">
        <f ca="1">IFERROR(__xludf.DUMMYFUNCTION("""COMPUTED_VALUE"""),"Yes")</f>
        <v>Yes</v>
      </c>
      <c r="K20" s="40" t="str">
        <f ca="1">IFERROR(__xludf.DUMMYFUNCTION("""COMPUTED_VALUE"""),"...")</f>
        <v>...</v>
      </c>
      <c r="L20" s="47" t="str">
        <f ca="1">IFERROR(__xludf.DUMMYFUNCTION("""COMPUTED_VALUE"""),"https://www.keybridgeti.com/hcats/hcats_overview.html")</f>
        <v>https://www.keybridgeti.com/hcats/hcats_overview.html</v>
      </c>
    </row>
    <row r="21" spans="1:12" ht="31.5" customHeight="1" x14ac:dyDescent="0.35">
      <c r="A21" s="41" t="str">
        <f ca="1">IFERROR(__xludf.DUMMYFUNCTION("""COMPUTED_VALUE"""),"GS02Q16DCR0095")</f>
        <v>GS02Q16DCR0095</v>
      </c>
      <c r="B21" s="42" t="str">
        <f ca="1">IFERROR(__xludf.DUMMYFUNCTION("""COMPUTED_VALUE"""),"KnowledgeBank, Inc")</f>
        <v>KnowledgeBank, Inc</v>
      </c>
      <c r="C21" s="43" t="str">
        <f ca="1">IFERROR(__xludf.DUMMYFUNCTION("""COMPUTED_VALUE"""),"MWMKKLFMK8B4")</f>
        <v>MWMKKLFMK8B4</v>
      </c>
      <c r="D21" s="44" t="str">
        <f ca="1">IFERROR(__xludf.DUMMYFUNCTION("""COMPUTED_VALUE"""),"203 Harrison St SE, Suite J, Leesburg, VA 20175")</f>
        <v>203 Harrison St SE, Suite J, Leesburg, VA 20175</v>
      </c>
      <c r="E21" s="45" t="str">
        <f ca="1">IFERROR(__xludf.DUMMYFUNCTION("""COMPUTED_VALUE"""),"...")</f>
        <v>...</v>
      </c>
      <c r="F21" s="45" t="str">
        <f ca="1">IFERROR(__xludf.DUMMYFUNCTION("""COMPUTED_VALUE"""),"Yes")</f>
        <v>Yes</v>
      </c>
      <c r="G21" s="45" t="str">
        <f ca="1">IFERROR(__xludf.DUMMYFUNCTION("""COMPUTED_VALUE"""),"...")</f>
        <v>...</v>
      </c>
      <c r="H21" s="45" t="str">
        <f ca="1">IFERROR(__xludf.DUMMYFUNCTION("""COMPUTED_VALUE"""),"...")</f>
        <v>...</v>
      </c>
      <c r="I21" s="45" t="str">
        <f ca="1">IFERROR(__xludf.DUMMYFUNCTION("""COMPUTED_VALUE"""),"...")</f>
        <v>...</v>
      </c>
      <c r="J21" s="45" t="str">
        <f ca="1">IFERROR(__xludf.DUMMYFUNCTION("""COMPUTED_VALUE"""),"...")</f>
        <v>...</v>
      </c>
      <c r="K21" s="45" t="str">
        <f ca="1">IFERROR(__xludf.DUMMYFUNCTION("""COMPUTED_VALUE"""),"...")</f>
        <v>...</v>
      </c>
      <c r="L21" s="46" t="str">
        <f ca="1">IFERROR(__xludf.DUMMYFUNCTION("""COMPUTED_VALUE"""),"https://knowledgebank.us.com/contract-vehicles-human-capital/")</f>
        <v>https://knowledgebank.us.com/contract-vehicles-human-capital/</v>
      </c>
    </row>
    <row r="22" spans="1:12" ht="31.5" customHeight="1" x14ac:dyDescent="0.35">
      <c r="A22" s="36" t="str">
        <f ca="1">IFERROR(__xludf.DUMMYFUNCTION("""COMPUTED_VALUE"""),"GS02Q16DCR0096")</f>
        <v>GS02Q16DCR0096</v>
      </c>
      <c r="B22" s="37" t="str">
        <f ca="1">IFERROR(__xludf.DUMMYFUNCTION("""COMPUTED_VALUE"""),"LinkVisum Consulting Group, Inc")</f>
        <v>LinkVisum Consulting Group, Inc</v>
      </c>
      <c r="C22" s="38" t="str">
        <f ca="1">IFERROR(__xludf.DUMMYFUNCTION("""COMPUTED_VALUE"""),"PJCLK964LYC4")</f>
        <v>PJCLK964LYC4</v>
      </c>
      <c r="D22" s="39" t="str">
        <f ca="1">IFERROR(__xludf.DUMMYFUNCTION("""COMPUTED_VALUE"""),"1660 INTERNATIONAL DR STE 600 , MC LEAN, VA 22102-4877")</f>
        <v>1660 INTERNATIONAL DR STE 600 , MC LEAN, VA 22102-4877</v>
      </c>
      <c r="E22" s="40" t="str">
        <f ca="1">IFERROR(__xludf.DUMMYFUNCTION("""COMPUTED_VALUE"""),"Yes")</f>
        <v>Yes</v>
      </c>
      <c r="F22" s="40" t="str">
        <f ca="1">IFERROR(__xludf.DUMMYFUNCTION("""COMPUTED_VALUE"""),"...")</f>
        <v>...</v>
      </c>
      <c r="G22" s="40" t="str">
        <f ca="1">IFERROR(__xludf.DUMMYFUNCTION("""COMPUTED_VALUE"""),"...")</f>
        <v>...</v>
      </c>
      <c r="H22" s="40" t="str">
        <f ca="1">IFERROR(__xludf.DUMMYFUNCTION("""COMPUTED_VALUE"""),"...")</f>
        <v>...</v>
      </c>
      <c r="I22" s="40" t="str">
        <f ca="1">IFERROR(__xludf.DUMMYFUNCTION("""COMPUTED_VALUE"""),"...")</f>
        <v>...</v>
      </c>
      <c r="J22" s="40" t="str">
        <f ca="1">IFERROR(__xludf.DUMMYFUNCTION("""COMPUTED_VALUE"""),"Yes")</f>
        <v>Yes</v>
      </c>
      <c r="K22" s="40" t="str">
        <f ca="1">IFERROR(__xludf.DUMMYFUNCTION("""COMPUTED_VALUE"""),"...")</f>
        <v>...</v>
      </c>
      <c r="L22" s="47" t="str">
        <f ca="1">IFERROR(__xludf.DUMMYFUNCTION("""COMPUTED_VALUE"""),"https://linkvisum.com/contract-vehicles/")</f>
        <v>https://linkvisum.com/contract-vehicles/</v>
      </c>
    </row>
    <row r="23" spans="1:12" ht="31.5" customHeight="1" x14ac:dyDescent="0.35">
      <c r="A23" s="41" t="str">
        <f ca="1">IFERROR(__xludf.DUMMYFUNCTION("""COMPUTED_VALUE"""),"GS02Q16DCR0097")</f>
        <v>GS02Q16DCR0097</v>
      </c>
      <c r="B23" s="42" t="str">
        <f ca="1">IFERROR(__xludf.DUMMYFUNCTION("""COMPUTED_VALUE"""),"Management Solutions Consulting Group, Inc")</f>
        <v>Management Solutions Consulting Group, Inc</v>
      </c>
      <c r="C23" s="43" t="str">
        <f ca="1">IFERROR(__xludf.DUMMYFUNCTION("""COMPUTED_VALUE"""),"HZNKLW5ACM51")</f>
        <v>HZNKLW5ACM51</v>
      </c>
      <c r="D23" s="44" t="str">
        <f ca="1">IFERROR(__xludf.DUMMYFUNCTION("""COMPUTED_VALUE"""),"4601 Presidents Drive, Suite 200, Lanham, MD 20706")</f>
        <v>4601 Presidents Drive, Suite 200, Lanham, MD 20706</v>
      </c>
      <c r="E23" s="45" t="str">
        <f ca="1">IFERROR(__xludf.DUMMYFUNCTION("""COMPUTED_VALUE"""),"Yes")</f>
        <v>Yes</v>
      </c>
      <c r="F23" s="45" t="str">
        <f ca="1">IFERROR(__xludf.DUMMYFUNCTION("""COMPUTED_VALUE"""),"...")</f>
        <v>...</v>
      </c>
      <c r="G23" s="45" t="str">
        <f ca="1">IFERROR(__xludf.DUMMYFUNCTION("""COMPUTED_VALUE"""),"...")</f>
        <v>...</v>
      </c>
      <c r="H23" s="45" t="str">
        <f ca="1">IFERROR(__xludf.DUMMYFUNCTION("""COMPUTED_VALUE"""),"...")</f>
        <v>...</v>
      </c>
      <c r="I23" s="45" t="str">
        <f ca="1">IFERROR(__xludf.DUMMYFUNCTION("""COMPUTED_VALUE"""),"...")</f>
        <v>...</v>
      </c>
      <c r="J23" s="45" t="str">
        <f ca="1">IFERROR(__xludf.DUMMYFUNCTION("""COMPUTED_VALUE"""),"Yes")</f>
        <v>Yes</v>
      </c>
      <c r="K23" s="45" t="str">
        <f ca="1">IFERROR(__xludf.DUMMYFUNCTION("""COMPUTED_VALUE"""),"Yes")</f>
        <v>Yes</v>
      </c>
      <c r="L23" s="46" t="str">
        <f ca="1">IFERROR(__xludf.DUMMYFUNCTION("""COMPUTED_VALUE"""),"https://www.mscginc.com/clients_HCaTs.htm")</f>
        <v>https://www.mscginc.com/clients_HCaTs.htm</v>
      </c>
    </row>
    <row r="24" spans="1:12" ht="31.5" customHeight="1" x14ac:dyDescent="0.35">
      <c r="A24" s="36" t="str">
        <f ca="1">IFERROR(__xludf.DUMMYFUNCTION("""COMPUTED_VALUE"""),"GS02Q16DCR0109")</f>
        <v>GS02Q16DCR0109</v>
      </c>
      <c r="B24" s="37" t="str">
        <f ca="1">IFERROR(__xludf.DUMMYFUNCTION("""COMPUTED_VALUE"""),"Millennium Group International LLC, The")</f>
        <v>Millennium Group International LLC, The</v>
      </c>
      <c r="C24" s="38" t="str">
        <f ca="1">IFERROR(__xludf.DUMMYFUNCTION("""COMPUTED_VALUE"""),"K2WEU9NU1K63")</f>
        <v>K2WEU9NU1K63</v>
      </c>
      <c r="D24" s="39" t="str">
        <f ca="1">IFERROR(__xludf.DUMMYFUNCTION("""COMPUTED_VALUE"""),"46169 Westlake Drive, Suite 240, Sterling, VA 20165")</f>
        <v>46169 Westlake Drive, Suite 240, Sterling, VA 20165</v>
      </c>
      <c r="E24" s="40" t="str">
        <f ca="1">IFERROR(__xludf.DUMMYFUNCTION("""COMPUTED_VALUE"""),"Yes")</f>
        <v>Yes</v>
      </c>
      <c r="F24" s="40" t="str">
        <f ca="1">IFERROR(__xludf.DUMMYFUNCTION("""COMPUTED_VALUE"""),"...")</f>
        <v>...</v>
      </c>
      <c r="G24" s="40" t="str">
        <f ca="1">IFERROR(__xludf.DUMMYFUNCTION("""COMPUTED_VALUE"""),"...")</f>
        <v>...</v>
      </c>
      <c r="H24" s="40" t="str">
        <f ca="1">IFERROR(__xludf.DUMMYFUNCTION("""COMPUTED_VALUE"""),"...")</f>
        <v>...</v>
      </c>
      <c r="I24" s="40" t="str">
        <f ca="1">IFERROR(__xludf.DUMMYFUNCTION("""COMPUTED_VALUE"""),"...")</f>
        <v>...</v>
      </c>
      <c r="J24" s="40" t="str">
        <f ca="1">IFERROR(__xludf.DUMMYFUNCTION("""COMPUTED_VALUE"""),"...")</f>
        <v>...</v>
      </c>
      <c r="K24" s="40" t="str">
        <f ca="1">IFERROR(__xludf.DUMMYFUNCTION("""COMPUTED_VALUE"""),"...")</f>
        <v>...</v>
      </c>
      <c r="L24" s="47" t="str">
        <f ca="1">IFERROR(__xludf.DUMMYFUNCTION("""COMPUTED_VALUE"""),"https://tmgi.net/government/")</f>
        <v>https://tmgi.net/government/</v>
      </c>
    </row>
    <row r="25" spans="1:12" ht="31.5" customHeight="1" x14ac:dyDescent="0.35">
      <c r="A25" s="41" t="str">
        <f ca="1">IFERROR(__xludf.DUMMYFUNCTION("""COMPUTED_VALUE"""),"GS02Q17DCR0006")</f>
        <v>GS02Q17DCR0006</v>
      </c>
      <c r="B25" s="42" t="str">
        <f ca="1">IFERROR(__xludf.DUMMYFUNCTION("""COMPUTED_VALUE"""),"Oban Corporation")</f>
        <v>Oban Corporation</v>
      </c>
      <c r="C25" s="43" t="str">
        <f ca="1">IFERROR(__xludf.DUMMYFUNCTION("""COMPUTED_VALUE"""),"R3BFZ2VEZAT2")</f>
        <v>R3BFZ2VEZAT2</v>
      </c>
      <c r="D25" s="44" t="str">
        <f ca="1">IFERROR(__xludf.DUMMYFUNCTION("""COMPUTED_VALUE"""),"8300 Boone Blvd., Suite 500, Vienna, VA 22182   ")</f>
        <v xml:space="preserve">8300 Boone Blvd., Suite 500, Vienna, VA 22182   </v>
      </c>
      <c r="E25" s="45" t="str">
        <f ca="1">IFERROR(__xludf.DUMMYFUNCTION("""COMPUTED_VALUE"""),"Yes")</f>
        <v>Yes</v>
      </c>
      <c r="F25" s="45" t="str">
        <f ca="1">IFERROR(__xludf.DUMMYFUNCTION("""COMPUTED_VALUE"""),"...")</f>
        <v>...</v>
      </c>
      <c r="G25" s="45" t="str">
        <f ca="1">IFERROR(__xludf.DUMMYFUNCTION("""COMPUTED_VALUE"""),"Yes")</f>
        <v>Yes</v>
      </c>
      <c r="H25" s="45" t="str">
        <f ca="1">IFERROR(__xludf.DUMMYFUNCTION("""COMPUTED_VALUE"""),"Yes")</f>
        <v>Yes</v>
      </c>
      <c r="I25" s="45" t="str">
        <f ca="1">IFERROR(__xludf.DUMMYFUNCTION("""COMPUTED_VALUE"""),"...")</f>
        <v>...</v>
      </c>
      <c r="J25" s="45" t="str">
        <f ca="1">IFERROR(__xludf.DUMMYFUNCTION("""COMPUTED_VALUE"""),"...")</f>
        <v>...</v>
      </c>
      <c r="K25" s="45" t="str">
        <f ca="1">IFERROR(__xludf.DUMMYFUNCTION("""COMPUTED_VALUE"""),"...")</f>
        <v>...</v>
      </c>
      <c r="L25" s="46" t="str">
        <f ca="1">IFERROR(__xludf.DUMMYFUNCTION("""COMPUTED_VALUE"""),"https://oban-corp.com/hcats/")</f>
        <v>https://oban-corp.com/hcats/</v>
      </c>
    </row>
    <row r="26" spans="1:12" ht="31.5" customHeight="1" x14ac:dyDescent="0.35">
      <c r="A26" s="36" t="str">
        <f ca="1">IFERROR(__xludf.DUMMYFUNCTION("""COMPUTED_VALUE"""),"GS02Q17DCR0009")</f>
        <v>GS02Q17DCR0009</v>
      </c>
      <c r="B26" s="37" t="str">
        <f ca="1">IFERROR(__xludf.DUMMYFUNCTION("""COMPUTED_VALUE"""),"Pal Technologies, Inc")</f>
        <v>Pal Technologies, Inc</v>
      </c>
      <c r="C26" s="38" t="str">
        <f ca="1">IFERROR(__xludf.DUMMYFUNCTION("""COMPUTED_VALUE"""),"HNJLPDH5WVL3")</f>
        <v>HNJLPDH5WVL3</v>
      </c>
      <c r="D26" s="39" t="str">
        <f ca="1">IFERROR(__xludf.DUMMYFUNCTION("""COMPUTED_VALUE"""),"3050 CHAIN BRIDGE RD STE 315 , FAIRFAX, VA 22030-2834")</f>
        <v>3050 CHAIN BRIDGE RD STE 315 , FAIRFAX, VA 22030-2834</v>
      </c>
      <c r="E26" s="40" t="str">
        <f ca="1">IFERROR(__xludf.DUMMYFUNCTION("""COMPUTED_VALUE"""),"...")</f>
        <v>...</v>
      </c>
      <c r="F26" s="40" t="str">
        <f ca="1">IFERROR(__xludf.DUMMYFUNCTION("""COMPUTED_VALUE"""),"...")</f>
        <v>...</v>
      </c>
      <c r="G26" s="40" t="str">
        <f ca="1">IFERROR(__xludf.DUMMYFUNCTION("""COMPUTED_VALUE"""),"Yes")</f>
        <v>Yes</v>
      </c>
      <c r="H26" s="40" t="str">
        <f ca="1">IFERROR(__xludf.DUMMYFUNCTION("""COMPUTED_VALUE"""),"...")</f>
        <v>...</v>
      </c>
      <c r="I26" s="40" t="str">
        <f ca="1">IFERROR(__xludf.DUMMYFUNCTION("""COMPUTED_VALUE"""),"...")</f>
        <v>...</v>
      </c>
      <c r="J26" s="40" t="str">
        <f ca="1">IFERROR(__xludf.DUMMYFUNCTION("""COMPUTED_VALUE"""),"...")</f>
        <v>...</v>
      </c>
      <c r="K26" s="40" t="str">
        <f ca="1">IFERROR(__xludf.DUMMYFUNCTION("""COMPUTED_VALUE"""),"...")</f>
        <v>...</v>
      </c>
      <c r="L26" s="47" t="str">
        <f ca="1">IFERROR(__xludf.DUMMYFUNCTION("""COMPUTED_VALUE"""),"https://pal-tech.com/contracts/hcats/")</f>
        <v>https://pal-tech.com/contracts/hcats/</v>
      </c>
    </row>
    <row r="27" spans="1:12" ht="31.5" customHeight="1" x14ac:dyDescent="0.35">
      <c r="A27" s="41" t="str">
        <f ca="1">IFERROR(__xludf.DUMMYFUNCTION("""COMPUTED_VALUE"""),"GS02Q16DCR0100")</f>
        <v>GS02Q16DCR0100</v>
      </c>
      <c r="B27" s="42" t="str">
        <f ca="1">IFERROR(__xludf.DUMMYFUNCTION("""COMPUTED_VALUE"""),"Parker Tide Corp")</f>
        <v>Parker Tide Corp</v>
      </c>
      <c r="C27" s="43" t="str">
        <f ca="1">IFERROR(__xludf.DUMMYFUNCTION("""COMPUTED_VALUE"""),"M6QXLD9AVAL8")</f>
        <v>M6QXLD9AVAL8</v>
      </c>
      <c r="D27" s="44" t="str">
        <f ca="1">IFERROR(__xludf.DUMMYFUNCTION("""COMPUTED_VALUE"""),"818 Connectiuct Ave NW, Suite 325, Washington, DC 20006")</f>
        <v>818 Connectiuct Ave NW, Suite 325, Washington, DC 20006</v>
      </c>
      <c r="E27" s="45" t="str">
        <f ca="1">IFERROR(__xludf.DUMMYFUNCTION("""COMPUTED_VALUE"""),"...")</f>
        <v>...</v>
      </c>
      <c r="F27" s="45" t="str">
        <f ca="1">IFERROR(__xludf.DUMMYFUNCTION("""COMPUTED_VALUE"""),"...")</f>
        <v>...</v>
      </c>
      <c r="G27" s="45" t="str">
        <f ca="1">IFERROR(__xludf.DUMMYFUNCTION("""COMPUTED_VALUE"""),"Yes")</f>
        <v>Yes</v>
      </c>
      <c r="H27" s="45" t="str">
        <f ca="1">IFERROR(__xludf.DUMMYFUNCTION("""COMPUTED_VALUE"""),"...")</f>
        <v>...</v>
      </c>
      <c r="I27" s="45" t="str">
        <f ca="1">IFERROR(__xludf.DUMMYFUNCTION("""COMPUTED_VALUE"""),"Yes")</f>
        <v>Yes</v>
      </c>
      <c r="J27" s="45" t="str">
        <f ca="1">IFERROR(__xludf.DUMMYFUNCTION("""COMPUTED_VALUE"""),"...")</f>
        <v>...</v>
      </c>
      <c r="K27" s="45" t="str">
        <f ca="1">IFERROR(__xludf.DUMMYFUNCTION("""COMPUTED_VALUE"""),"...")</f>
        <v>...</v>
      </c>
      <c r="L27" s="46" t="str">
        <f ca="1">IFERROR(__xludf.DUMMYFUNCTION("""COMPUTED_VALUE"""),"https://parkertide.com/hcats/")</f>
        <v>https://parkertide.com/hcats/</v>
      </c>
    </row>
    <row r="28" spans="1:12" ht="31.5" customHeight="1" x14ac:dyDescent="0.35">
      <c r="A28" s="36" t="str">
        <f ca="1">IFERROR(__xludf.DUMMYFUNCTION("""COMPUTED_VALUE"""),"GS02Q16DCR0101")</f>
        <v>GS02Q16DCR0101</v>
      </c>
      <c r="B28" s="37" t="str">
        <f ca="1">IFERROR(__xludf.DUMMYFUNCTION("""COMPUTED_VALUE"""),"Performance Excellence Partners, LLC (PEP)")</f>
        <v>Performance Excellence Partners, LLC (PEP)</v>
      </c>
      <c r="C28" s="38" t="str">
        <f ca="1">IFERROR(__xludf.DUMMYFUNCTION("""COMPUTED_VALUE"""),"ZKZWX1WCK153")</f>
        <v>ZKZWX1WCK153</v>
      </c>
      <c r="D28" s="39" t="str">
        <f ca="1">IFERROR(__xludf.DUMMYFUNCTION("""COMPUTED_VALUE"""),"7911 Professional Circle Huntington Beach, CA 92648")</f>
        <v>7911 Professional Circle Huntington Beach, CA 92648</v>
      </c>
      <c r="E28" s="40" t="str">
        <f ca="1">IFERROR(__xludf.DUMMYFUNCTION("""COMPUTED_VALUE"""),"Yes")</f>
        <v>Yes</v>
      </c>
      <c r="F28" s="40" t="str">
        <f ca="1">IFERROR(__xludf.DUMMYFUNCTION("""COMPUTED_VALUE"""),"...")</f>
        <v>...</v>
      </c>
      <c r="G28" s="40" t="str">
        <f ca="1">IFERROR(__xludf.DUMMYFUNCTION("""COMPUTED_VALUE"""),"...")</f>
        <v>...</v>
      </c>
      <c r="H28" s="40" t="str">
        <f ca="1">IFERROR(__xludf.DUMMYFUNCTION("""COMPUTED_VALUE"""),"...")</f>
        <v>...</v>
      </c>
      <c r="I28" s="40" t="str">
        <f ca="1">IFERROR(__xludf.DUMMYFUNCTION("""COMPUTED_VALUE"""),"...")</f>
        <v>...</v>
      </c>
      <c r="J28" s="40" t="str">
        <f ca="1">IFERROR(__xludf.DUMMYFUNCTION("""COMPUTED_VALUE"""),"Yes")</f>
        <v>Yes</v>
      </c>
      <c r="K28" s="40" t="str">
        <f ca="1">IFERROR(__xludf.DUMMYFUNCTION("""COMPUTED_VALUE"""),"...")</f>
        <v>...</v>
      </c>
      <c r="L28" s="47" t="str">
        <f ca="1">IFERROR(__xludf.DUMMYFUNCTION("""COMPUTED_VALUE"""),"https://www.tppsolutions.com/hcats")</f>
        <v>https://www.tppsolutions.com/hcats</v>
      </c>
    </row>
    <row r="29" spans="1:12" ht="31.5" customHeight="1" x14ac:dyDescent="0.35">
      <c r="A29" s="41" t="str">
        <f ca="1">IFERROR(__xludf.DUMMYFUNCTION("""COMPUTED_VALUE"""),"GS02Q16DCR0102")</f>
        <v>GS02Q16DCR0102</v>
      </c>
      <c r="B29" s="42" t="str">
        <f ca="1">IFERROR(__xludf.DUMMYFUNCTION("""COMPUTED_VALUE"""),"Piton Science &amp; Technology LLC")</f>
        <v>Piton Science &amp; Technology LLC</v>
      </c>
      <c r="C29" s="43" t="str">
        <f ca="1">IFERROR(__xludf.DUMMYFUNCTION("""COMPUTED_VALUE"""),"W8SHUJ42NZ64")</f>
        <v>W8SHUJ42NZ64</v>
      </c>
      <c r="D29" s="44" t="str">
        <f ca="1">IFERROR(__xludf.DUMMYFUNCTION("""COMPUTED_VALUE"""),"2696 Linda Marie Drive, Oakton, VA 22124-1111")</f>
        <v>2696 Linda Marie Drive, Oakton, VA 22124-1111</v>
      </c>
      <c r="E29" s="45" t="str">
        <f ca="1">IFERROR(__xludf.DUMMYFUNCTION("""COMPUTED_VALUE"""),"...")</f>
        <v>...</v>
      </c>
      <c r="F29" s="45" t="str">
        <f ca="1">IFERROR(__xludf.DUMMYFUNCTION("""COMPUTED_VALUE"""),"...")</f>
        <v>...</v>
      </c>
      <c r="G29" s="45" t="str">
        <f ca="1">IFERROR(__xludf.DUMMYFUNCTION("""COMPUTED_VALUE"""),"Yes")</f>
        <v>Yes</v>
      </c>
      <c r="H29" s="45" t="str">
        <f ca="1">IFERROR(__xludf.DUMMYFUNCTION("""COMPUTED_VALUE"""),"Yes")</f>
        <v>Yes</v>
      </c>
      <c r="I29" s="45" t="str">
        <f ca="1">IFERROR(__xludf.DUMMYFUNCTION("""COMPUTED_VALUE"""),"...")</f>
        <v>...</v>
      </c>
      <c r="J29" s="45" t="str">
        <f ca="1">IFERROR(__xludf.DUMMYFUNCTION("""COMPUTED_VALUE"""),"...")</f>
        <v>...</v>
      </c>
      <c r="K29" s="45" t="str">
        <f ca="1">IFERROR(__xludf.DUMMYFUNCTION("""COMPUTED_VALUE"""),"...")</f>
        <v>...</v>
      </c>
      <c r="L29" s="46" t="str">
        <f ca="1">IFERROR(__xludf.DUMMYFUNCTION("""COMPUTED_VALUE"""),"http://www.pitonscience.com/index.php/hcats")</f>
        <v>http://www.pitonscience.com/index.php/hcats</v>
      </c>
    </row>
    <row r="30" spans="1:12" ht="31.5" customHeight="1" x14ac:dyDescent="0.35">
      <c r="A30" s="36" t="str">
        <f ca="1">IFERROR(__xludf.DUMMYFUNCTION("""COMPUTED_VALUE"""),"GS02Q16DCR0104")</f>
        <v>GS02Q16DCR0104</v>
      </c>
      <c r="B30" s="37" t="str">
        <f ca="1">IFERROR(__xludf.DUMMYFUNCTION("""COMPUTED_VALUE"""),"Prairie Quest Inc")</f>
        <v>Prairie Quest Inc</v>
      </c>
      <c r="C30" s="38" t="str">
        <f ca="1">IFERROR(__xludf.DUMMYFUNCTION("""COMPUTED_VALUE"""),"MYEACAS9JBL6")</f>
        <v>MYEACAS9JBL6</v>
      </c>
      <c r="D30" s="39" t="str">
        <f ca="1">IFERROR(__xludf.DUMMYFUNCTION("""COMPUTED_VALUE"""),"4211 Hobson Ct., Suite A, Fort Wayne, IN 46815")</f>
        <v>4211 Hobson Ct., Suite A, Fort Wayne, IN 46815</v>
      </c>
      <c r="E30" s="40" t="str">
        <f ca="1">IFERROR(__xludf.DUMMYFUNCTION("""COMPUTED_VALUE"""),"Yes")</f>
        <v>Yes</v>
      </c>
      <c r="F30" s="40" t="str">
        <f ca="1">IFERROR(__xludf.DUMMYFUNCTION("""COMPUTED_VALUE"""),"Yes")</f>
        <v>Yes</v>
      </c>
      <c r="G30" s="40" t="str">
        <f ca="1">IFERROR(__xludf.DUMMYFUNCTION("""COMPUTED_VALUE"""),"...")</f>
        <v>...</v>
      </c>
      <c r="H30" s="40" t="str">
        <f ca="1">IFERROR(__xludf.DUMMYFUNCTION("""COMPUTED_VALUE"""),"...")</f>
        <v>...</v>
      </c>
      <c r="I30" s="40" t="str">
        <f ca="1">IFERROR(__xludf.DUMMYFUNCTION("""COMPUTED_VALUE"""),"...")</f>
        <v>...</v>
      </c>
      <c r="J30" s="40" t="str">
        <f ca="1">IFERROR(__xludf.DUMMYFUNCTION("""COMPUTED_VALUE"""),"Yes")</f>
        <v>Yes</v>
      </c>
      <c r="K30" s="40" t="str">
        <f ca="1">IFERROR(__xludf.DUMMYFUNCTION("""COMPUTED_VALUE"""),"Yes")</f>
        <v>Yes</v>
      </c>
      <c r="L30" s="47" t="str">
        <f ca="1">IFERROR(__xludf.DUMMYFUNCTION("""COMPUTED_VALUE"""),"https://www.pqcworks.com/contracts")</f>
        <v>https://www.pqcworks.com/contracts</v>
      </c>
    </row>
    <row r="31" spans="1:12" ht="31.5" customHeight="1" x14ac:dyDescent="0.35">
      <c r="A31" s="41" t="str">
        <f ca="1">IFERROR(__xludf.DUMMYFUNCTION("""COMPUTED_VALUE"""),"GS02Q16DCR0105")</f>
        <v>GS02Q16DCR0105</v>
      </c>
      <c r="B31" s="42" t="str">
        <f ca="1">IFERROR(__xludf.DUMMYFUNCTION("""COMPUTED_VALUE"""),"R3 Government Solutions, LLC")</f>
        <v>R3 Government Solutions, LLC</v>
      </c>
      <c r="C31" s="43" t="str">
        <f ca="1">IFERROR(__xludf.DUMMYFUNCTION("""COMPUTED_VALUE"""),"EANSA1SCLJV6")</f>
        <v>EANSA1SCLJV6</v>
      </c>
      <c r="D31" s="44" t="str">
        <f ca="1">IFERROR(__xludf.DUMMYFUNCTION("""COMPUTED_VALUE"""),"4201 Wilson Boulevard, 3rd Floor, Arlington, VA 22203")</f>
        <v>4201 Wilson Boulevard, 3rd Floor, Arlington, VA 22203</v>
      </c>
      <c r="E31" s="45" t="str">
        <f ca="1">IFERROR(__xludf.DUMMYFUNCTION("""COMPUTED_VALUE"""),"...")</f>
        <v>...</v>
      </c>
      <c r="F31" s="45" t="str">
        <f ca="1">IFERROR(__xludf.DUMMYFUNCTION("""COMPUTED_VALUE"""),"...")</f>
        <v>...</v>
      </c>
      <c r="G31" s="45" t="str">
        <f ca="1">IFERROR(__xludf.DUMMYFUNCTION("""COMPUTED_VALUE"""),"...")</f>
        <v>...</v>
      </c>
      <c r="H31" s="45" t="str">
        <f ca="1">IFERROR(__xludf.DUMMYFUNCTION("""COMPUTED_VALUE"""),"...")</f>
        <v>...</v>
      </c>
      <c r="I31" s="45" t="str">
        <f ca="1">IFERROR(__xludf.DUMMYFUNCTION("""COMPUTED_VALUE"""),"...")</f>
        <v>...</v>
      </c>
      <c r="J31" s="45" t="str">
        <f ca="1">IFERROR(__xludf.DUMMYFUNCTION("""COMPUTED_VALUE"""),"Yes")</f>
        <v>Yes</v>
      </c>
      <c r="K31" s="45" t="str">
        <f ca="1">IFERROR(__xludf.DUMMYFUNCTION("""COMPUTED_VALUE"""),"...")</f>
        <v>...</v>
      </c>
      <c r="L31" s="46" t="str">
        <f ca="1">IFERROR(__xludf.DUMMYFUNCTION("""COMPUTED_VALUE"""),"https://www.r3consulting.com/human-capital-and-training-solutions-overview/")</f>
        <v>https://www.r3consulting.com/human-capital-and-training-solutions-overview/</v>
      </c>
    </row>
    <row r="32" spans="1:12" ht="31.5" customHeight="1" x14ac:dyDescent="0.35">
      <c r="A32" s="36" t="str">
        <f ca="1">IFERROR(__xludf.DUMMYFUNCTION("""COMPUTED_VALUE"""),"GS02Q16DCR0107")</f>
        <v>GS02Q16DCR0107</v>
      </c>
      <c r="B32" s="37" t="str">
        <f ca="1">IFERROR(__xludf.DUMMYFUNCTION("""COMPUTED_VALUE"""),"RiVidium Inc")</f>
        <v>RiVidium Inc</v>
      </c>
      <c r="C32" s="38" t="str">
        <f ca="1">IFERROR(__xludf.DUMMYFUNCTION("""COMPUTED_VALUE"""),"WRHHNUK5YBN1")</f>
        <v>WRHHNUK5YBN1</v>
      </c>
      <c r="D32" s="39" t="str">
        <f ca="1">IFERROR(__xludf.DUMMYFUNCTION("""COMPUTED_VALUE"""),"10530 Linden Lake Plaza, Suite 200, Manassas, VA 20109")</f>
        <v>10530 Linden Lake Plaza, Suite 200, Manassas, VA 20109</v>
      </c>
      <c r="E32" s="40" t="str">
        <f ca="1">IFERROR(__xludf.DUMMYFUNCTION("""COMPUTED_VALUE"""),"Yes")</f>
        <v>Yes</v>
      </c>
      <c r="F32" s="40" t="str">
        <f ca="1">IFERROR(__xludf.DUMMYFUNCTION("""COMPUTED_VALUE"""),"...")</f>
        <v>...</v>
      </c>
      <c r="G32" s="40" t="str">
        <f ca="1">IFERROR(__xludf.DUMMYFUNCTION("""COMPUTED_VALUE"""),"Yes")</f>
        <v>Yes</v>
      </c>
      <c r="H32" s="40" t="str">
        <f ca="1">IFERROR(__xludf.DUMMYFUNCTION("""COMPUTED_VALUE"""),"Yes")</f>
        <v>Yes</v>
      </c>
      <c r="I32" s="40" t="str">
        <f ca="1">IFERROR(__xludf.DUMMYFUNCTION("""COMPUTED_VALUE"""),"Yes")</f>
        <v>Yes</v>
      </c>
      <c r="J32" s="40" t="str">
        <f ca="1">IFERROR(__xludf.DUMMYFUNCTION("""COMPUTED_VALUE"""),"...")</f>
        <v>...</v>
      </c>
      <c r="K32" s="40" t="str">
        <f ca="1">IFERROR(__xludf.DUMMYFUNCTION("""COMPUTED_VALUE"""),"...")</f>
        <v>...</v>
      </c>
      <c r="L32" s="47" t="str">
        <f ca="1">IFERROR(__xludf.DUMMYFUNCTION("""COMPUTED_VALUE"""),"https://www.triplecyber.com")</f>
        <v>https://www.triplecyber.com</v>
      </c>
    </row>
    <row r="33" spans="1:12" ht="31.5" customHeight="1" x14ac:dyDescent="0.35">
      <c r="A33" s="41" t="str">
        <f ca="1">IFERROR(__xludf.DUMMYFUNCTION("""COMPUTED_VALUE"""),"GS02Q16DCR0108")</f>
        <v>GS02Q16DCR0108</v>
      </c>
      <c r="B33" s="42" t="str">
        <f ca="1">IFERROR(__xludf.DUMMYFUNCTION("""COMPUTED_VALUE"""),"Technology, Automation &amp; Management Inc")</f>
        <v>Technology, Automation &amp; Management Inc</v>
      </c>
      <c r="C33" s="43" t="str">
        <f ca="1">IFERROR(__xludf.DUMMYFUNCTION("""COMPUTED_VALUE"""),"R5FAUF675G93")</f>
        <v>R5FAUF675G93</v>
      </c>
      <c r="D33" s="44" t="str">
        <f ca="1">IFERROR(__xludf.DUMMYFUNCTION("""COMPUTED_VALUE"""),"8280 Willow Oaks Corporate Drive, Suite 620, Fairfax, VA 22031")</f>
        <v>8280 Willow Oaks Corporate Drive, Suite 620, Fairfax, VA 22031</v>
      </c>
      <c r="E33" s="45" t="str">
        <f ca="1">IFERROR(__xludf.DUMMYFUNCTION("""COMPUTED_VALUE"""),"Yes")</f>
        <v>Yes</v>
      </c>
      <c r="F33" s="45" t="str">
        <f ca="1">IFERROR(__xludf.DUMMYFUNCTION("""COMPUTED_VALUE"""),"...")</f>
        <v>...</v>
      </c>
      <c r="G33" s="45" t="str">
        <f ca="1">IFERROR(__xludf.DUMMYFUNCTION("""COMPUTED_VALUE"""),"Yes")</f>
        <v>Yes</v>
      </c>
      <c r="H33" s="45" t="str">
        <f ca="1">IFERROR(__xludf.DUMMYFUNCTION("""COMPUTED_VALUE"""),"...")</f>
        <v>...</v>
      </c>
      <c r="I33" s="45" t="str">
        <f ca="1">IFERROR(__xludf.DUMMYFUNCTION("""COMPUTED_VALUE"""),"Yes")</f>
        <v>Yes</v>
      </c>
      <c r="J33" s="45" t="str">
        <f ca="1">IFERROR(__xludf.DUMMYFUNCTION("""COMPUTED_VALUE"""),"...")</f>
        <v>...</v>
      </c>
      <c r="K33" s="45" t="str">
        <f ca="1">IFERROR(__xludf.DUMMYFUNCTION("""COMPUTED_VALUE"""),"...")</f>
        <v>...</v>
      </c>
      <c r="L33" s="46" t="str">
        <f ca="1">IFERROR(__xludf.DUMMYFUNCTION("""COMPUTED_VALUE"""),"https://teamconsult.com/procurements-options/human-capital-training-solutions/")</f>
        <v>https://teamconsult.com/procurements-options/human-capital-training-solutions/</v>
      </c>
    </row>
    <row r="34" spans="1:12" ht="31.5" customHeight="1" x14ac:dyDescent="0.35">
      <c r="A34" s="36" t="str">
        <f ca="1">IFERROR(__xludf.DUMMYFUNCTION("""COMPUTED_VALUE"""),"47QREB22D0001")</f>
        <v>47QREB22D0001</v>
      </c>
      <c r="B34" s="37" t="str">
        <f ca="1">IFERROR(__xludf.DUMMYFUNCTION("""COMPUTED_VALUE"""),"The Center for Organizational Excellence, Inc")</f>
        <v>The Center for Organizational Excellence, Inc</v>
      </c>
      <c r="C34" s="38" t="str">
        <f ca="1">IFERROR(__xludf.DUMMYFUNCTION("""COMPUTED_VALUE"""),"RS3WLFN3TDH6")</f>
        <v>RS3WLFN3TDH6</v>
      </c>
      <c r="D34" s="39" t="str">
        <f ca="1">IFERROR(__xludf.DUMMYFUNCTION("""COMPUTED_VALUE"""),"15204 Omega Drive Suite 300, Rockville, MD 20850-3218")</f>
        <v>15204 Omega Drive Suite 300, Rockville, MD 20850-3218</v>
      </c>
      <c r="E34" s="40" t="str">
        <f ca="1">IFERROR(__xludf.DUMMYFUNCTION("""COMPUTED_VALUE"""),"...")</f>
        <v>...</v>
      </c>
      <c r="F34" s="40" t="str">
        <f ca="1">IFERROR(__xludf.DUMMYFUNCTION("""COMPUTED_VALUE"""),"...")</f>
        <v>...</v>
      </c>
      <c r="G34" s="40" t="str">
        <f ca="1">IFERROR(__xludf.DUMMYFUNCTION("""COMPUTED_VALUE"""),"...")</f>
        <v>...</v>
      </c>
      <c r="H34" s="40" t="str">
        <f ca="1">IFERROR(__xludf.DUMMYFUNCTION("""COMPUTED_VALUE"""),"...")</f>
        <v>...</v>
      </c>
      <c r="I34" s="40" t="str">
        <f ca="1">IFERROR(__xludf.DUMMYFUNCTION("""COMPUTED_VALUE"""),"...")</f>
        <v>...</v>
      </c>
      <c r="J34" s="40" t="str">
        <f ca="1">IFERROR(__xludf.DUMMYFUNCTION("""COMPUTED_VALUE"""),"...")</f>
        <v>...</v>
      </c>
      <c r="K34" s="40" t="str">
        <f ca="1">IFERROR(__xludf.DUMMYFUNCTION("""COMPUTED_VALUE"""),"...")</f>
        <v>...</v>
      </c>
      <c r="L34" s="47" t="str">
        <f ca="1">IFERROR(__xludf.DUMMYFUNCTION("""COMPUTED_VALUE"""),"https://center4oe.com/contract-vehicles/#.Yfv_7erYo2w")</f>
        <v>https://center4oe.com/contract-vehicles/#.Yfv_7erYo2w</v>
      </c>
    </row>
    <row r="35" spans="1:12" ht="31.5" customHeight="1" x14ac:dyDescent="0.35">
      <c r="A35" s="41"/>
      <c r="B35" s="42"/>
      <c r="C35" s="43"/>
      <c r="D35" s="44"/>
      <c r="E35" s="45"/>
      <c r="F35" s="45"/>
      <c r="G35" s="45"/>
      <c r="H35" s="45"/>
      <c r="I35" s="45"/>
      <c r="J35" s="45"/>
      <c r="K35" s="45"/>
      <c r="L35" s="44"/>
    </row>
    <row r="36" spans="1:12" ht="31.5" customHeight="1" x14ac:dyDescent="0.35">
      <c r="A36" s="36"/>
      <c r="B36" s="37"/>
      <c r="C36" s="38"/>
      <c r="D36" s="39"/>
      <c r="E36" s="48"/>
      <c r="F36" s="48"/>
      <c r="G36" s="48"/>
      <c r="H36" s="48"/>
      <c r="I36" s="48"/>
      <c r="J36" s="48"/>
      <c r="K36" s="48"/>
      <c r="L36" s="39"/>
    </row>
    <row r="37" spans="1:12" ht="31.5" customHeight="1" x14ac:dyDescent="0.35">
      <c r="A37" s="41"/>
      <c r="B37" s="42"/>
      <c r="C37" s="43"/>
      <c r="D37" s="44"/>
      <c r="E37" s="49"/>
      <c r="F37" s="49"/>
      <c r="G37" s="49"/>
      <c r="H37" s="49"/>
      <c r="I37" s="49"/>
      <c r="J37" s="49"/>
      <c r="K37" s="49"/>
      <c r="L37" s="44"/>
    </row>
    <row r="38" spans="1:12" ht="31.5" customHeight="1" x14ac:dyDescent="0.35">
      <c r="A38" s="36"/>
      <c r="B38" s="37"/>
      <c r="C38" s="38"/>
      <c r="D38" s="39"/>
      <c r="E38" s="48"/>
      <c r="F38" s="48"/>
      <c r="G38" s="48"/>
      <c r="H38" s="48"/>
      <c r="I38" s="48"/>
      <c r="J38" s="48"/>
      <c r="K38" s="48"/>
      <c r="L38" s="39"/>
    </row>
    <row r="39" spans="1:12" ht="31.5" customHeight="1" x14ac:dyDescent="0.35">
      <c r="A39" s="41"/>
      <c r="B39" s="42"/>
      <c r="C39" s="43"/>
      <c r="D39" s="44"/>
      <c r="E39" s="49"/>
      <c r="F39" s="49"/>
      <c r="G39" s="49"/>
      <c r="H39" s="49"/>
      <c r="I39" s="49"/>
      <c r="J39" s="49"/>
      <c r="K39" s="49"/>
      <c r="L39" s="44"/>
    </row>
    <row r="40" spans="1:12" ht="31.5" customHeight="1" x14ac:dyDescent="0.35">
      <c r="A40" s="36"/>
      <c r="B40" s="37"/>
      <c r="C40" s="38"/>
      <c r="D40" s="39"/>
      <c r="E40" s="48"/>
      <c r="F40" s="48"/>
      <c r="G40" s="48"/>
      <c r="H40" s="48"/>
      <c r="I40" s="48"/>
      <c r="J40" s="48"/>
      <c r="K40" s="48"/>
      <c r="L40" s="39"/>
    </row>
    <row r="41" spans="1:12" ht="31.5" customHeight="1" x14ac:dyDescent="0.35">
      <c r="A41" s="41"/>
      <c r="B41" s="42"/>
      <c r="C41" s="43"/>
      <c r="D41" s="44"/>
      <c r="E41" s="49"/>
      <c r="F41" s="49"/>
      <c r="G41" s="49"/>
      <c r="H41" s="49"/>
      <c r="I41" s="49"/>
      <c r="J41" s="49"/>
      <c r="K41" s="49"/>
      <c r="L41" s="44"/>
    </row>
  </sheetData>
  <mergeCells count="6">
    <mergeCell ref="L2:L3"/>
    <mergeCell ref="A2:A3"/>
    <mergeCell ref="B2:B3"/>
    <mergeCell ref="C2:C3"/>
    <mergeCell ref="D2:D3"/>
    <mergeCell ref="E2:K2"/>
  </mergeCells>
  <hyperlinks>
    <hyperlink ref="L5" r:id="rId1" display="https://www.apvit.com/ContractVehicles/hcats" xr:uid="{00000000-0004-0000-0400-000000000000}"/>
    <hyperlink ref="L6" r:id="rId2" display="http://www.goaclc.com/hcats/" xr:uid="{00000000-0004-0000-0400-000001000000}"/>
    <hyperlink ref="L7" r:id="rId3" display="https://www.aestrategies.com/hcats" xr:uid="{00000000-0004-0000-0400-000002000000}"/>
    <hyperlink ref="L8" r:id="rId4" display="https://www.arcaspicio.com/contract-vehicles" xr:uid="{00000000-0004-0000-0400-000003000000}"/>
    <hyperlink ref="L9" r:id="rId5" display="https://www.mckinleygroup.net/hcats/" xr:uid="{00000000-0004-0000-0400-000004000000}"/>
    <hyperlink ref="L10" r:id="rId6" display="https://www.censeoconsulting.com/human-capital-and-training-solutions-hcats/" xr:uid="{00000000-0004-0000-0400-000005000000}"/>
    <hyperlink ref="L11" r:id="rId7" display="https://cherokee-federal.com/contract-vehicles" xr:uid="{00000000-0004-0000-0400-000006000000}"/>
    <hyperlink ref="L12" r:id="rId8" display="https://deepmile.com/hcatssb/" xr:uid="{00000000-0004-0000-0400-000007000000}"/>
    <hyperlink ref="L13" r:id="rId9" display="https://www.dutyfirst.com/services/contract-vehicles/" xr:uid="{00000000-0004-0000-0400-000008000000}"/>
    <hyperlink ref="L14" r:id="rId10" display="https://www.e-paga.com/hcats-sb/" xr:uid="{00000000-0004-0000-0400-000009000000}"/>
    <hyperlink ref="L15" r:id="rId11" display="http://www.fyinfo.com/" xr:uid="{00000000-0004-0000-0400-00000A000000}"/>
    <hyperlink ref="L16" r:id="rId12" display="https://www.higherechelon.com/who-we-serve/human-capital-and-training-solutions-hcats-small-business-pool-1/" xr:uid="{00000000-0004-0000-0400-00000B000000}"/>
    <hyperlink ref="L17" r:id="rId13" display="https://www.jeffersonsolutions.net/hcats/" xr:uid="{00000000-0004-0000-0400-00000C000000}"/>
    <hyperlink ref="L18" r:id="rId14" display="https://www.jps-usa.com/home.html" xr:uid="{00000000-0004-0000-0400-00000D000000}"/>
    <hyperlink ref="L19" r:id="rId15" display="https://hcatssb.jrcllc.com/" xr:uid="{00000000-0004-0000-0400-00000E000000}"/>
    <hyperlink ref="L20" r:id="rId16" display="https://www.keybridgeti.com/hcats/hcats_overview.html" xr:uid="{00000000-0004-0000-0400-00000F000000}"/>
    <hyperlink ref="L21" r:id="rId17" display="https://knowledgebank.us.com/contract-vehicles-human-capital/" xr:uid="{00000000-0004-0000-0400-000010000000}"/>
    <hyperlink ref="L22" r:id="rId18" display="https://linkvisum.com/contract-vehicles/" xr:uid="{00000000-0004-0000-0400-000011000000}"/>
    <hyperlink ref="L23" r:id="rId19" display="https://www.mscginc.com/clients_HCaTs.htm" xr:uid="{00000000-0004-0000-0400-000012000000}"/>
    <hyperlink ref="L24" r:id="rId20" display="https://tmgi.net/government/" xr:uid="{00000000-0004-0000-0400-000013000000}"/>
    <hyperlink ref="L25" r:id="rId21" display="https://oban-corp.com/hcats/" xr:uid="{00000000-0004-0000-0400-000014000000}"/>
    <hyperlink ref="L26" r:id="rId22" display="https://pal-tech.com/contracts/hcats/" xr:uid="{00000000-0004-0000-0400-000015000000}"/>
    <hyperlink ref="L27" r:id="rId23" display="https://parkertide.com/hcats/" xr:uid="{00000000-0004-0000-0400-000016000000}"/>
    <hyperlink ref="L28" r:id="rId24" display="https://www.tppsolutions.com/hcats" xr:uid="{00000000-0004-0000-0400-000017000000}"/>
    <hyperlink ref="L29" r:id="rId25" display="http://www.pitonscience.com/index.php/hcats" xr:uid="{00000000-0004-0000-0400-000018000000}"/>
    <hyperlink ref="L30" r:id="rId26" display="https://www.pqcworks.com/contracts" xr:uid="{00000000-0004-0000-0400-000019000000}"/>
    <hyperlink ref="L31" r:id="rId27" display="https://www.r3consulting.com/human-capital-and-training-solutions-overview/" xr:uid="{00000000-0004-0000-0400-00001A000000}"/>
    <hyperlink ref="L32" r:id="rId28" display="https://www.triplecyber.com/" xr:uid="{00000000-0004-0000-0400-00001B000000}"/>
    <hyperlink ref="L33" r:id="rId29" display="https://teamconsult.com/procurements-options/human-capital-training-solutions/" xr:uid="{00000000-0004-0000-0400-00001C000000}"/>
    <hyperlink ref="L34" r:id="rId30" location=".Yfv_7erYo2w" display="https://center4oe.com/contract-vehicles/ - .Yfv_7erYo2w" xr:uid="{00000000-0004-0000-0400-00001D000000}"/>
  </hyperlinks>
  <pageMargins left="0.2" right="0.2" top="0.2" bottom="0.2" header="0" footer="0"/>
  <pageSetup orientation="landscape"/>
  <tableParts count="1">
    <tablePart r:id="rId3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38761D"/>
  </sheetPr>
  <dimension ref="A1:E40"/>
  <sheetViews>
    <sheetView workbookViewId="0">
      <pane xSplit="2" ySplit="2" topLeftCell="C18" activePane="bottomRight" state="frozen"/>
      <selection pane="topRight" activeCell="C1" sqref="C1"/>
      <selection pane="bottomLeft" activeCell="A3" sqref="A3"/>
      <selection pane="bottomRight" activeCell="G4" sqref="G4"/>
    </sheetView>
  </sheetViews>
  <sheetFormatPr defaultColWidth="11.25" defaultRowHeight="50.5" customHeight="1" x14ac:dyDescent="0.35"/>
  <cols>
    <col min="1" max="1" width="15.6640625" customWidth="1"/>
    <col min="2" max="2" width="30.6640625" customWidth="1"/>
    <col min="3" max="3" width="12.58203125" customWidth="1"/>
    <col min="4" max="4" width="27.9140625" customWidth="1"/>
    <col min="5" max="5" width="44.58203125" customWidth="1"/>
  </cols>
  <sheetData>
    <row r="1" spans="1:5" ht="50.5" customHeight="1" x14ac:dyDescent="0.35">
      <c r="A1" s="54" t="s">
        <v>35</v>
      </c>
      <c r="B1" s="55"/>
      <c r="C1" s="56"/>
      <c r="D1" s="55"/>
      <c r="E1" s="55"/>
    </row>
    <row r="2" spans="1:5" ht="50.5" customHeight="1" x14ac:dyDescent="0.35">
      <c r="A2" s="57" t="s">
        <v>36</v>
      </c>
      <c r="B2" s="58" t="s">
        <v>17</v>
      </c>
      <c r="C2" s="58" t="s">
        <v>18</v>
      </c>
      <c r="D2" s="58" t="s">
        <v>19</v>
      </c>
      <c r="E2" s="58" t="s">
        <v>20</v>
      </c>
    </row>
    <row r="3" spans="1:5" ht="50.5" customHeight="1" x14ac:dyDescent="0.35">
      <c r="A3" s="16" t="str">
        <f ca="1">IFERROR(__xludf.DUMMYFUNCTION("Query(importrange(""https://docs.google.com/spreadsheets/d/1t10Foe1vTEZyMDsOA_q-Q29vy-Kz9U_eP3ItSEmmPak/edit#gid=525286931"",""HCaTS Master Contracts info!A2:X137""),""SELECT Col6, Col13, Col16, Col17, Col24 where Col6 is not null order by Col13"",0)"),"1")</f>
        <v>1</v>
      </c>
      <c r="B3" s="17"/>
      <c r="C3" s="18"/>
      <c r="D3" s="19"/>
      <c r="E3" s="19"/>
    </row>
    <row r="4" spans="1:5" ht="50.5" customHeight="1" x14ac:dyDescent="0.35">
      <c r="A4" s="16" t="str">
        <f ca="1">IFERROR(__xludf.DUMMYFUNCTION("""COMPUTED_VALUE"""),"47QREB21D0001")</f>
        <v>47QREB21D0001</v>
      </c>
      <c r="B4" s="17" t="str">
        <f ca="1">IFERROR(__xludf.DUMMYFUNCTION("""COMPUTED_VALUE"""),"A P Ventures, LLC")</f>
        <v>A P Ventures, LLC</v>
      </c>
      <c r="C4" s="18" t="str">
        <f ca="1">IFERROR(__xludf.DUMMYFUNCTION("""COMPUTED_VALUE"""),"CF46HNY9JH31")</f>
        <v>CF46HNY9JH31</v>
      </c>
      <c r="D4" s="19" t="str">
        <f ca="1">IFERROR(__xludf.DUMMYFUNCTION("""COMPUTED_VALUE"""),"9520 Berger Road, Suite 107, Columbia, MD 21046, U.S.A.")</f>
        <v>9520 Berger Road, Suite 107, Columbia, MD 21046, U.S.A.</v>
      </c>
      <c r="E4" s="59" t="str">
        <f ca="1">IFERROR(__xludf.DUMMYFUNCTION("""COMPUTED_VALUE"""),"https://www.apvit.com/ContractVehicles/hcats")</f>
        <v>https://www.apvit.com/ContractVehicles/hcats</v>
      </c>
    </row>
    <row r="5" spans="1:5" ht="50.5" customHeight="1" x14ac:dyDescent="0.35">
      <c r="A5" s="16" t="str">
        <f ca="1">IFERROR(__xludf.DUMMYFUNCTION("""COMPUTED_VALUE"""),"47QREB21D0002")</f>
        <v>47QREB21D0002</v>
      </c>
      <c r="B5" s="17" t="str">
        <f ca="1">IFERROR(__xludf.DUMMYFUNCTION("""COMPUTED_VALUE"""),"Advanced Computer Learning Company, LLC")</f>
        <v>Advanced Computer Learning Company, LLC</v>
      </c>
      <c r="C5" s="18" t="str">
        <f ca="1">IFERROR(__xludf.DUMMYFUNCTION("""COMPUTED_VALUE"""),"XV6JNSC2R3D7")</f>
        <v>XV6JNSC2R3D7</v>
      </c>
      <c r="D5" s="19" t="str">
        <f ca="1">IFERROR(__xludf.DUMMYFUNCTION("""COMPUTED_VALUE"""),"208 C Hay Street, Suite C, Fayetteville NC 28301")</f>
        <v>208 C Hay Street, Suite C, Fayetteville NC 28301</v>
      </c>
      <c r="E5" s="59" t="str">
        <f ca="1">IFERROR(__xludf.DUMMYFUNCTION("""COMPUTED_VALUE"""),"http://www.goaclc.com/hcats/")</f>
        <v>http://www.goaclc.com/hcats/</v>
      </c>
    </row>
    <row r="6" spans="1:5" ht="50.5" customHeight="1" x14ac:dyDescent="0.35">
      <c r="A6" s="16" t="str">
        <f ca="1">IFERROR(__xludf.DUMMYFUNCTION("""COMPUTED_VALUE"""),"47QREB21D0003")</f>
        <v>47QREB21D0003</v>
      </c>
      <c r="B6" s="17" t="str">
        <f ca="1">IFERROR(__xludf.DUMMYFUNCTION("""COMPUTED_VALUE"""),"AvantGarde, LLC")</f>
        <v>AvantGarde, LLC</v>
      </c>
      <c r="C6" s="18" t="str">
        <f ca="1">IFERROR(__xludf.DUMMYFUNCTION("""COMPUTED_VALUE"""),"NLSBAKHB8VD9")</f>
        <v>NLSBAKHB8VD9</v>
      </c>
      <c r="D6" s="19" t="str">
        <f ca="1">IFERROR(__xludf.DUMMYFUNCTION("""COMPUTED_VALUE"""),"3011 Dawn Dr. Ste 101
Georgetown, TX 78628-2827
")</f>
        <v xml:space="preserve">3011 Dawn Dr. Ste 101
Georgetown, TX 78628-2827
</v>
      </c>
      <c r="E6" s="59" t="str">
        <f ca="1">IFERROR(__xludf.DUMMYFUNCTION("""COMPUTED_VALUE"""),"https://www.avantgarde4usa.com/hcats-8a-pool-1/")</f>
        <v>https://www.avantgarde4usa.com/hcats-8a-pool-1/</v>
      </c>
    </row>
    <row r="7" spans="1:5" ht="50.5" customHeight="1" x14ac:dyDescent="0.35">
      <c r="A7" s="16" t="str">
        <f ca="1">IFERROR(__xludf.DUMMYFUNCTION("""COMPUTED_VALUE"""),"47QREB21D0004")</f>
        <v>47QREB21D0004</v>
      </c>
      <c r="B7" s="17" t="str">
        <f ca="1">IFERROR(__xludf.DUMMYFUNCTION("""COMPUTED_VALUE"""),"Bloomsburie LLC")</f>
        <v>Bloomsburie LLC</v>
      </c>
      <c r="C7" s="18" t="str">
        <f ca="1">IFERROR(__xludf.DUMMYFUNCTION("""COMPUTED_VALUE"""),"HC5MCXU3VMK3")</f>
        <v>HC5MCXU3VMK3</v>
      </c>
      <c r="D7" s="19" t="str">
        <f ca="1">IFERROR(__xludf.DUMMYFUNCTION("""COMPUTED_VALUE"""),"3542 N UTAH ST
ARLINGTON, VA, 22207-4444")</f>
        <v>3542 N UTAH ST
ARLINGTON, VA, 22207-4444</v>
      </c>
      <c r="E7" s="59" t="str">
        <f ca="1">IFERROR(__xludf.DUMMYFUNCTION("""COMPUTED_VALUE"""),"https://bloomsburie.com/hcats.html")</f>
        <v>https://bloomsburie.com/hcats.html</v>
      </c>
    </row>
    <row r="8" spans="1:5" ht="50.5" customHeight="1" x14ac:dyDescent="0.35">
      <c r="A8" s="16" t="str">
        <f ca="1">IFERROR(__xludf.DUMMYFUNCTION("""COMPUTED_VALUE"""),"47QREB21D0005")</f>
        <v>47QREB21D0005</v>
      </c>
      <c r="B8" s="17" t="str">
        <f ca="1">IFERROR(__xludf.DUMMYFUNCTION("""COMPUTED_VALUE"""),"Constant Eagle Hill, LLC")</f>
        <v>Constant Eagle Hill, LLC</v>
      </c>
      <c r="C8" s="18" t="str">
        <f ca="1">IFERROR(__xludf.DUMMYFUNCTION("""COMPUTED_VALUE"""),"FSSJP6UGKWL5")</f>
        <v>FSSJP6UGKWL5</v>
      </c>
      <c r="D8" s="19" t="str">
        <f ca="1">IFERROR(__xludf.DUMMYFUNCTION("""COMPUTED_VALUE"""),"241 18TH ST S STE 615
ARLINGTON, VA, 22202-3418")</f>
        <v>241 18TH ST S STE 615
ARLINGTON, VA, 22202-3418</v>
      </c>
      <c r="E8" s="59" t="str">
        <f ca="1">IFERROR(__xludf.DUMMYFUNCTION("""COMPUTED_VALUE"""),"https://www.eaglehillconsulting.com/news/eagle-hill-wins-gsa-opm-human-capital-training-solutions-hcats-small-business-contract/")</f>
        <v>https://www.eaglehillconsulting.com/news/eagle-hill-wins-gsa-opm-human-capital-training-solutions-hcats-small-business-contract/</v>
      </c>
    </row>
    <row r="9" spans="1:5" ht="50.5" customHeight="1" x14ac:dyDescent="0.35">
      <c r="A9" s="16" t="str">
        <f ca="1">IFERROR(__xludf.DUMMYFUNCTION("""COMPUTED_VALUE"""),"47QREB21D0007")</f>
        <v>47QREB21D0007</v>
      </c>
      <c r="B9" s="17" t="str">
        <f ca="1">IFERROR(__xludf.DUMMYFUNCTION("""COMPUTED_VALUE"""),"JSTooGood, LLC dba Joint Strategic Technologies")</f>
        <v>JSTooGood, LLC dba Joint Strategic Technologies</v>
      </c>
      <c r="C9" s="18" t="str">
        <f ca="1">IFERROR(__xludf.DUMMYFUNCTION("""COMPUTED_VALUE"""),"J7M9KNLGXKR4")</f>
        <v>J7M9KNLGXKR4</v>
      </c>
      <c r="D9" s="19" t="str">
        <f ca="1">IFERROR(__xludf.DUMMYFUNCTION("""COMPUTED_VALUE"""),"596 N. Kimball Ave
STE 100
Southlake, TX 76092-6957")</f>
        <v>596 N. Kimball Ave
STE 100
Southlake, TX 76092-6957</v>
      </c>
      <c r="E9" s="59" t="str">
        <f ca="1">IFERROR(__xludf.DUMMYFUNCTION("""COMPUTED_VALUE"""),"https://jstcorp.com/contract-vehicles/hcats-8a-contract-vehicle/")</f>
        <v>https://jstcorp.com/contract-vehicles/hcats-8a-contract-vehicle/</v>
      </c>
    </row>
    <row r="10" spans="1:5" ht="50.5" customHeight="1" x14ac:dyDescent="0.35">
      <c r="A10" s="16" t="str">
        <f ca="1">IFERROR(__xludf.DUMMYFUNCTION("""COMPUTED_VALUE"""),"47QREB21D0008")</f>
        <v>47QREB21D0008</v>
      </c>
      <c r="B10" s="17" t="str">
        <f ca="1">IFERROR(__xludf.DUMMYFUNCTION("""COMPUTED_VALUE"""),"Ortiz Group, LLC, The")</f>
        <v>Ortiz Group, LLC, The</v>
      </c>
      <c r="C10" s="18" t="str">
        <f ca="1">IFERROR(__xludf.DUMMYFUNCTION("""COMPUTED_VALUE"""),"H13JNWRGG5W5")</f>
        <v>H13JNWRGG5W5</v>
      </c>
      <c r="D10" s="19" t="str">
        <f ca="1">IFERROR(__xludf.DUMMYFUNCTION("""COMPUTED_VALUE"""),"984 Autumn Oak Cir 
Concord, CA, 94521-5440")</f>
        <v>984 Autumn Oak Cir 
Concord, CA, 94521-5440</v>
      </c>
      <c r="E10" s="59" t="str">
        <f ca="1">IFERROR(__xludf.DUMMYFUNCTION("""COMPUTED_VALUE"""),"https://ortiz-group.com/hcats/")</f>
        <v>https://ortiz-group.com/hcats/</v>
      </c>
    </row>
    <row r="11" spans="1:5" ht="50.5" customHeight="1" x14ac:dyDescent="0.35">
      <c r="A11" s="16" t="str">
        <f ca="1">IFERROR(__xludf.DUMMYFUNCTION("""COMPUTED_VALUE"""),"47QREB21D0009")</f>
        <v>47QREB21D0009</v>
      </c>
      <c r="B11" s="17" t="str">
        <f ca="1">IFERROR(__xludf.DUMMYFUNCTION("""COMPUTED_VALUE"""),"Performance Principles, LLC, The")</f>
        <v>Performance Principles, LLC, The</v>
      </c>
      <c r="C11" s="18" t="str">
        <f ca="1">IFERROR(__xludf.DUMMYFUNCTION("""COMPUTED_VALUE"""),"F7E8GLSENJW3")</f>
        <v>F7E8GLSENJW3</v>
      </c>
      <c r="D11" s="19" t="str">
        <f ca="1">IFERROR(__xludf.DUMMYFUNCTION("""COMPUTED_VALUE"""),"1732 Pryor Rd SW STE 808
Atlanta, GA, 30315-4854")</f>
        <v>1732 Pryor Rd SW STE 808
Atlanta, GA, 30315-4854</v>
      </c>
      <c r="E11" s="59" t="str">
        <f ca="1">IFERROR(__xludf.DUMMYFUNCTION("""COMPUTED_VALUE"""),"https://www.tppsolutions.com/hcats")</f>
        <v>https://www.tppsolutions.com/hcats</v>
      </c>
    </row>
    <row r="12" spans="1:5" ht="50.5" customHeight="1" x14ac:dyDescent="0.35">
      <c r="A12" s="16" t="str">
        <f ca="1">IFERROR(__xludf.DUMMYFUNCTION("""COMPUTED_VALUE"""),"47QREB21D0010")</f>
        <v>47QREB21D0010</v>
      </c>
      <c r="B12" s="17" t="str">
        <f ca="1">IFERROR(__xludf.DUMMYFUNCTION("""COMPUTED_VALUE"""),"Precise Federal Consulting, LLC")</f>
        <v>Precise Federal Consulting, LLC</v>
      </c>
      <c r="C12" s="18" t="str">
        <f ca="1">IFERROR(__xludf.DUMMYFUNCTION("""COMPUTED_VALUE"""),"QFWZRK6KN1N2")</f>
        <v>QFWZRK6KN1N2</v>
      </c>
      <c r="D12" s="19" t="str">
        <f ca="1">IFERROR(__xludf.DUMMYFUNCTION("""COMPUTED_VALUE"""),"7701 Greenbelt Rd Ste 501 
Greenbelt, MD, 20770-6523")</f>
        <v>7701 Greenbelt Rd Ste 501 
Greenbelt, MD, 20770-6523</v>
      </c>
      <c r="E12" s="59" t="str">
        <f ca="1">IFERROR(__xludf.DUMMYFUNCTION("""COMPUTED_VALUE"""),"http://www.precisefederal.com/contractvehicles.html")</f>
        <v>http://www.precisefederal.com/contractvehicles.html</v>
      </c>
    </row>
    <row r="13" spans="1:5" ht="50.5" customHeight="1" x14ac:dyDescent="0.35">
      <c r="A13" s="16" t="str">
        <f ca="1">IFERROR(__xludf.DUMMYFUNCTION("""COMPUTED_VALUE"""),"47QREB21D0011")</f>
        <v>47QREB21D0011</v>
      </c>
      <c r="B13" s="17" t="str">
        <f ca="1">IFERROR(__xludf.DUMMYFUNCTION("""COMPUTED_VALUE"""),"PTG International, Inc")</f>
        <v>PTG International, Inc</v>
      </c>
      <c r="C13" s="18" t="str">
        <f ca="1">IFERROR(__xludf.DUMMYFUNCTION("""COMPUTED_VALUE"""),"EHVWQC5LJRV9")</f>
        <v>EHVWQC5LJRV9</v>
      </c>
      <c r="D13" s="19" t="str">
        <f ca="1">IFERROR(__xludf.DUMMYFUNCTION("""COMPUTED_VALUE"""),"13227 Executive Park Ter 
Germantown, MD, 20874-2648")</f>
        <v>13227 Executive Park Ter 
Germantown, MD, 20874-2648</v>
      </c>
      <c r="E13" s="59" t="str">
        <f ca="1">IFERROR(__xludf.DUMMYFUNCTION("""COMPUTED_VALUE"""),"https://ptg-intl.com/contract-vehicles/#hcats-cv")</f>
        <v>https://ptg-intl.com/contract-vehicles/#hcats-cv</v>
      </c>
    </row>
    <row r="14" spans="1:5" ht="50.5" customHeight="1" x14ac:dyDescent="0.35">
      <c r="A14" s="16" t="str">
        <f ca="1">IFERROR(__xludf.DUMMYFUNCTION("""COMPUTED_VALUE"""),"47QREB21D0012")</f>
        <v>47QREB21D0012</v>
      </c>
      <c r="B14" s="17" t="str">
        <f ca="1">IFERROR(__xludf.DUMMYFUNCTION("""COMPUTED_VALUE"""),"Radian Solutions, LLC")</f>
        <v>Radian Solutions, LLC</v>
      </c>
      <c r="C14" s="18" t="str">
        <f ca="1">IFERROR(__xludf.DUMMYFUNCTION("""COMPUTED_VALUE"""),"ZTLKKMSN9RV7")</f>
        <v>ZTLKKMSN9RV7</v>
      </c>
      <c r="D14" s="19" t="str">
        <f ca="1">IFERROR(__xludf.DUMMYFUNCTION("""COMPUTED_VALUE"""),"717 K St Ste 403 
Sacramento, CA, 95814-3408")</f>
        <v>717 K St Ste 403 
Sacramento, CA, 95814-3408</v>
      </c>
      <c r="E14" s="59" t="str">
        <f ca="1">IFERROR(__xludf.DUMMYFUNCTION("""COMPUTED_VALUE"""),"https://radiansolutionsllc.com/contract-vehicles/")</f>
        <v>https://radiansolutionsllc.com/contract-vehicles/</v>
      </c>
    </row>
    <row r="15" spans="1:5" ht="50.5" customHeight="1" x14ac:dyDescent="0.35">
      <c r="A15" s="16" t="str">
        <f ca="1">IFERROR(__xludf.DUMMYFUNCTION("""COMPUTED_VALUE"""),"47QREB21D0013")</f>
        <v>47QREB21D0013</v>
      </c>
      <c r="B15" s="17" t="str">
        <f ca="1">IFERROR(__xludf.DUMMYFUNCTION("""COMPUTED_VALUE"""),"Rainmakers-LinkVisum, LLC (RSLV)")</f>
        <v>Rainmakers-LinkVisum, LLC (RSLV)</v>
      </c>
      <c r="C15" s="18" t="str">
        <f ca="1">IFERROR(__xludf.DUMMYFUNCTION("""COMPUTED_VALUE"""),"M54XCLBLTFV7")</f>
        <v>M54XCLBLTFV7</v>
      </c>
      <c r="D15" s="19" t="str">
        <f ca="1">IFERROR(__xludf.DUMMYFUNCTION("""COMPUTED_VALUE"""),"18444 N. 25th Ave, Suite 420
Phoenix, AZ, 85023-1268")</f>
        <v>18444 N. 25th Ave, Suite 420
Phoenix, AZ, 85023-1268</v>
      </c>
      <c r="E15" s="59" t="str">
        <f ca="1">IFERROR(__xludf.DUMMYFUNCTION("""COMPUTED_VALUE"""),"https://rainmakerssolutions.com/hcats")</f>
        <v>https://rainmakerssolutions.com/hcats</v>
      </c>
    </row>
    <row r="16" spans="1:5" ht="50.5" customHeight="1" x14ac:dyDescent="0.35">
      <c r="A16" s="16" t="str">
        <f ca="1">IFERROR(__xludf.DUMMYFUNCTION("""COMPUTED_VALUE"""),"47QREB21D0014")</f>
        <v>47QREB21D0014</v>
      </c>
      <c r="B16" s="17" t="str">
        <f ca="1">IFERROR(__xludf.DUMMYFUNCTION("""COMPUTED_VALUE"""),"SB-SBI JV, LLC")</f>
        <v>SB-SBI JV, LLC</v>
      </c>
      <c r="C16" s="18" t="str">
        <f ca="1">IFERROR(__xludf.DUMMYFUNCTION("""COMPUTED_VALUE"""),"ZCCHBU296UM7")</f>
        <v>ZCCHBU296UM7</v>
      </c>
      <c r="D16" s="19" t="str">
        <f ca="1">IFERROR(__xludf.DUMMYFUNCTION("""COMPUTED_VALUE"""),"7630 Little River Turnpike, Ste. 903
Annandale, VA 22003")</f>
        <v>7630 Little River Turnpike, Ste. 903
Annandale, VA 22003</v>
      </c>
      <c r="E16" s="59" t="str">
        <f ca="1">IFERROR(__xludf.DUMMYFUNCTION("""COMPUTED_VALUE"""),"https://www.shadowboxllc.com/contract-vehicle/")</f>
        <v>https://www.shadowboxllc.com/contract-vehicle/</v>
      </c>
    </row>
    <row r="17" spans="1:5" ht="50.5" customHeight="1" x14ac:dyDescent="0.35">
      <c r="A17" s="16" t="str">
        <f ca="1">IFERROR(__xludf.DUMMYFUNCTION("""COMPUTED_VALUE"""),"47QREB21D0015")</f>
        <v>47QREB21D0015</v>
      </c>
      <c r="B17" s="17" t="str">
        <f ca="1">IFERROR(__xludf.DUMMYFUNCTION("""COMPUTED_VALUE"""),"SGC23 JV, LLC")</f>
        <v>SGC23 JV, LLC</v>
      </c>
      <c r="C17" s="18" t="str">
        <f ca="1">IFERROR(__xludf.DUMMYFUNCTION("""COMPUTED_VALUE"""),"JYLJK952MK39")</f>
        <v>JYLJK952MK39</v>
      </c>
      <c r="D17" s="19" t="str">
        <f ca="1">IFERROR(__xludf.DUMMYFUNCTION("""COMPUTED_VALUE"""),"4465 Brookfield Corporate Dr Ste 102
Chantilly, VA, 20151-2107")</f>
        <v>4465 Brookfield Corporate Dr Ste 102
Chantilly, VA, 20151-2107</v>
      </c>
      <c r="E17" s="59" t="str">
        <f ca="1">IFERROR(__xludf.DUMMYFUNCTION("""COMPUTED_VALUE"""),"https://sgc23llc.com/")</f>
        <v>https://sgc23llc.com/</v>
      </c>
    </row>
    <row r="18" spans="1:5" ht="50.5" customHeight="1" x14ac:dyDescent="0.35">
      <c r="A18" s="16" t="str">
        <f ca="1">IFERROR(__xludf.DUMMYFUNCTION("""COMPUTED_VALUE"""),"47QREB21D0016")</f>
        <v>47QREB21D0016</v>
      </c>
      <c r="B18" s="17" t="str">
        <f ca="1">IFERROR(__xludf.DUMMYFUNCTION("""COMPUTED_VALUE"""),"Tipping Point Solutions, Inc")</f>
        <v>Tipping Point Solutions, Inc</v>
      </c>
      <c r="C18" s="18" t="str">
        <f ca="1">IFERROR(__xludf.DUMMYFUNCTION("""COMPUTED_VALUE"""),"JDRJM774WPB8")</f>
        <v>JDRJM774WPB8</v>
      </c>
      <c r="D18" s="19" t="str">
        <f ca="1">IFERROR(__xludf.DUMMYFUNCTION("""COMPUTED_VALUE"""),"7000 S YOSEMITE ST STE 280
CENTENNIAL, CO, 80112-2007")</f>
        <v>7000 S YOSEMITE ST STE 280
CENTENNIAL, CO, 80112-2007</v>
      </c>
      <c r="E18" s="59" t="str">
        <f ca="1">IFERROR(__xludf.DUMMYFUNCTION("""COMPUTED_VALUE"""),"https://www.tippingpointcorp.net/hcats.html")</f>
        <v>https://www.tippingpointcorp.net/hcats.html</v>
      </c>
    </row>
    <row r="19" spans="1:5" ht="50.5" customHeight="1" x14ac:dyDescent="0.35">
      <c r="A19" s="16" t="str">
        <f ca="1">IFERROR(__xludf.DUMMYFUNCTION("""COMPUTED_VALUE"""),"47QREB21D0017")</f>
        <v>47QREB21D0017</v>
      </c>
      <c r="B19" s="17" t="str">
        <f ca="1">IFERROR(__xludf.DUMMYFUNCTION("""COMPUTED_VALUE"""),"VS4S, LLC")</f>
        <v>VS4S, LLC</v>
      </c>
      <c r="C19" s="18" t="str">
        <f ca="1">IFERROR(__xludf.DUMMYFUNCTION("""COMPUTED_VALUE"""),"C9CJKTAKHKW8")</f>
        <v>C9CJKTAKHKW8</v>
      </c>
      <c r="D19" s="19" t="str">
        <f ca="1">IFERROR(__xludf.DUMMYFUNCTION("""COMPUTED_VALUE"""),"5900 Balconies Drive, Suite 5812
Austin, TX 78731-4257")</f>
        <v>5900 Balconies Drive, Suite 5812
Austin, TX 78731-4257</v>
      </c>
      <c r="E19" s="59" t="str">
        <f ca="1">IFERROR(__xludf.DUMMYFUNCTION("""COMPUTED_VALUE"""),"https://www.vs4s.com/#")</f>
        <v>https://www.vs4s.com/#</v>
      </c>
    </row>
    <row r="20" spans="1:5" ht="50.5" customHeight="1" x14ac:dyDescent="0.35">
      <c r="A20" s="16" t="str">
        <f ca="1">IFERROR(__xludf.DUMMYFUNCTION("""COMPUTED_VALUE"""),"47QREB21D0018")</f>
        <v>47QREB21D0018</v>
      </c>
      <c r="B20" s="17" t="str">
        <f ca="1">IFERROR(__xludf.DUMMYFUNCTION("""COMPUTED_VALUE"""),"Workforce Innovations JV")</f>
        <v>Workforce Innovations JV</v>
      </c>
      <c r="C20" s="18" t="str">
        <f ca="1">IFERROR(__xludf.DUMMYFUNCTION("""COMPUTED_VALUE"""),"G4XEWJFFT3K3")</f>
        <v>G4XEWJFFT3K3</v>
      </c>
      <c r="D20" s="19" t="str">
        <f ca="1">IFERROR(__xludf.DUMMYFUNCTION("""COMPUTED_VALUE"""),"3909 Arctic Blvd Ste 500
Anchorage, AK, 99503-5793")</f>
        <v>3909 Arctic Blvd Ste 500
Anchorage, AK, 99503-5793</v>
      </c>
      <c r="E20" s="59" t="str">
        <f ca="1">IFERROR(__xludf.DUMMYFUNCTION("""COMPUTED_VALUE"""),"http://www.whitespaceinnovations.com/workforce-innovations-human-capital-and-training-solutions/")</f>
        <v>http://www.whitespaceinnovations.com/workforce-innovations-human-capital-and-training-solutions/</v>
      </c>
    </row>
    <row r="21" spans="1:5" ht="50.5" customHeight="1" x14ac:dyDescent="0.35">
      <c r="A21" s="16"/>
      <c r="B21" s="17"/>
      <c r="C21" s="18"/>
      <c r="D21" s="19"/>
      <c r="E21" s="19"/>
    </row>
    <row r="22" spans="1:5" ht="50.5" customHeight="1" x14ac:dyDescent="0.35">
      <c r="A22" s="16"/>
      <c r="B22" s="17"/>
      <c r="C22" s="18"/>
      <c r="D22" s="19"/>
      <c r="E22" s="19"/>
    </row>
    <row r="23" spans="1:5" ht="50.5" customHeight="1" x14ac:dyDescent="0.35">
      <c r="A23" s="16"/>
      <c r="B23" s="17"/>
      <c r="C23" s="18"/>
      <c r="D23" s="19"/>
      <c r="E23" s="19"/>
    </row>
    <row r="24" spans="1:5" ht="50.5" customHeight="1" x14ac:dyDescent="0.35">
      <c r="A24" s="16"/>
      <c r="B24" s="17"/>
      <c r="C24" s="18"/>
      <c r="D24" s="19"/>
      <c r="E24" s="19"/>
    </row>
    <row r="25" spans="1:5" ht="50.5" customHeight="1" x14ac:dyDescent="0.35">
      <c r="A25" s="16"/>
      <c r="B25" s="17"/>
      <c r="C25" s="18"/>
      <c r="D25" s="19"/>
      <c r="E25" s="19"/>
    </row>
    <row r="26" spans="1:5" ht="50.5" customHeight="1" x14ac:dyDescent="0.35">
      <c r="A26" s="16"/>
      <c r="B26" s="17"/>
      <c r="C26" s="18"/>
      <c r="D26" s="19"/>
      <c r="E26" s="19"/>
    </row>
    <row r="27" spans="1:5" ht="50.5" customHeight="1" x14ac:dyDescent="0.35">
      <c r="A27" s="16"/>
      <c r="B27" s="17"/>
      <c r="C27" s="18"/>
      <c r="D27" s="19"/>
      <c r="E27" s="19"/>
    </row>
    <row r="28" spans="1:5" ht="50.5" customHeight="1" x14ac:dyDescent="0.35">
      <c r="A28" s="16"/>
      <c r="B28" s="17"/>
      <c r="C28" s="18"/>
      <c r="D28" s="19"/>
      <c r="E28" s="19"/>
    </row>
    <row r="29" spans="1:5" ht="50.5" customHeight="1" x14ac:dyDescent="0.35">
      <c r="A29" s="16"/>
      <c r="B29" s="17"/>
      <c r="C29" s="18"/>
      <c r="D29" s="19"/>
      <c r="E29" s="19"/>
    </row>
    <row r="30" spans="1:5" ht="50.5" customHeight="1" x14ac:dyDescent="0.35">
      <c r="A30" s="16"/>
      <c r="B30" s="17"/>
      <c r="C30" s="18"/>
      <c r="D30" s="19"/>
      <c r="E30" s="19"/>
    </row>
    <row r="31" spans="1:5" ht="50.5" customHeight="1" x14ac:dyDescent="0.35">
      <c r="A31" s="16"/>
      <c r="B31" s="17"/>
      <c r="C31" s="18"/>
      <c r="D31" s="19"/>
      <c r="E31" s="19"/>
    </row>
    <row r="32" spans="1:5" ht="50.5" customHeight="1" x14ac:dyDescent="0.35">
      <c r="A32" s="16"/>
      <c r="B32" s="17"/>
      <c r="C32" s="18"/>
      <c r="D32" s="19"/>
      <c r="E32" s="19"/>
    </row>
    <row r="33" spans="1:5" ht="50.5" customHeight="1" x14ac:dyDescent="0.35">
      <c r="A33" s="16"/>
      <c r="B33" s="17"/>
      <c r="C33" s="18"/>
      <c r="D33" s="19"/>
      <c r="E33" s="19"/>
    </row>
    <row r="34" spans="1:5" ht="50.5" customHeight="1" x14ac:dyDescent="0.35">
      <c r="A34" s="16"/>
      <c r="B34" s="17"/>
      <c r="C34" s="18"/>
      <c r="D34" s="19"/>
      <c r="E34" s="19"/>
    </row>
    <row r="35" spans="1:5" ht="50.5" customHeight="1" x14ac:dyDescent="0.35">
      <c r="A35" s="16"/>
      <c r="B35" s="17"/>
      <c r="C35" s="18"/>
      <c r="D35" s="19"/>
      <c r="E35" s="19"/>
    </row>
    <row r="36" spans="1:5" ht="50.5" customHeight="1" x14ac:dyDescent="0.35">
      <c r="A36" s="16"/>
      <c r="B36" s="17"/>
      <c r="C36" s="18"/>
      <c r="D36" s="19"/>
      <c r="E36" s="19"/>
    </row>
    <row r="37" spans="1:5" ht="50.5" customHeight="1" x14ac:dyDescent="0.35">
      <c r="A37" s="16"/>
      <c r="B37" s="17"/>
      <c r="C37" s="18"/>
      <c r="D37" s="19"/>
      <c r="E37" s="19"/>
    </row>
    <row r="38" spans="1:5" ht="50.5" customHeight="1" x14ac:dyDescent="0.35">
      <c r="A38" s="16"/>
      <c r="B38" s="17"/>
      <c r="C38" s="18"/>
      <c r="D38" s="19"/>
      <c r="E38" s="19"/>
    </row>
    <row r="39" spans="1:5" ht="50.5" customHeight="1" x14ac:dyDescent="0.35">
      <c r="A39" s="16"/>
      <c r="B39" s="17"/>
      <c r="C39" s="18"/>
      <c r="D39" s="19"/>
      <c r="E39" s="19"/>
    </row>
    <row r="40" spans="1:5" ht="50.5" customHeight="1" x14ac:dyDescent="0.35">
      <c r="A40" s="16"/>
      <c r="B40" s="17"/>
      <c r="C40" s="18"/>
      <c r="D40" s="19"/>
      <c r="E40" s="19"/>
    </row>
  </sheetData>
  <hyperlinks>
    <hyperlink ref="E4" r:id="rId1" display="https://www.apvit.com/ContractVehicles/hcats" xr:uid="{00000000-0004-0000-0500-000000000000}"/>
    <hyperlink ref="E5" r:id="rId2" display="http://www.goaclc.com/hcats/" xr:uid="{00000000-0004-0000-0500-000001000000}"/>
    <hyperlink ref="E6" r:id="rId3" display="https://www.avantgarde4usa.com/hcats-8a-pool-1/" xr:uid="{00000000-0004-0000-0500-000002000000}"/>
    <hyperlink ref="E7" r:id="rId4" display="https://bloomsburie.com/hcats.html" xr:uid="{00000000-0004-0000-0500-000003000000}"/>
    <hyperlink ref="E8" r:id="rId5" display="https://www.eaglehillconsulting.com/news/eagle-hill-wins-gsa-opm-human-capital-training-solutions-hcats-small-business-contract/" xr:uid="{00000000-0004-0000-0500-000004000000}"/>
    <hyperlink ref="E9" r:id="rId6" display="https://jstcorp.com/contract-vehicles/hcats-8a-contract-vehicle/" xr:uid="{00000000-0004-0000-0500-000005000000}"/>
    <hyperlink ref="E10" r:id="rId7" display="https://ortiz-group.com/hcats/" xr:uid="{00000000-0004-0000-0500-000006000000}"/>
    <hyperlink ref="E11" r:id="rId8" display="https://www.tppsolutions.com/hcats" xr:uid="{00000000-0004-0000-0500-000007000000}"/>
    <hyperlink ref="E12" r:id="rId9" display="http://www.precisefederal.com/contractvehicles.html" xr:uid="{00000000-0004-0000-0500-000008000000}"/>
    <hyperlink ref="E13" r:id="rId10" location="hcats-cv" display="https://ptg-intl.com/contract-vehicles/ - hcats-cv" xr:uid="{00000000-0004-0000-0500-000009000000}"/>
    <hyperlink ref="E14" r:id="rId11" display="https://radiansolutionsllc.com/contract-vehicles/" xr:uid="{00000000-0004-0000-0500-00000A000000}"/>
    <hyperlink ref="E15" r:id="rId12" display="https://rainmakerssolutions.com/hcats" xr:uid="{00000000-0004-0000-0500-00000B000000}"/>
    <hyperlink ref="E16" r:id="rId13" display="https://www.shadowboxllc.com/contract-vehicle/" xr:uid="{00000000-0004-0000-0500-00000C000000}"/>
    <hyperlink ref="E17" r:id="rId14" display="https://sgc23llc.com/" xr:uid="{00000000-0004-0000-0500-00000D000000}"/>
    <hyperlink ref="E18" r:id="rId15" display="https://www.tippingpointcorp.net/hcats.html" xr:uid="{00000000-0004-0000-0500-00000E000000}"/>
    <hyperlink ref="E19" r:id="rId16" display="https://www.vs4s.com/" xr:uid="{00000000-0004-0000-0500-00000F000000}"/>
    <hyperlink ref="E20" r:id="rId17" display="http://www.whitespaceinnovations.com/workforce-innovations-human-capital-and-training-solutions/" xr:uid="{00000000-0004-0000-0500-000010000000}"/>
  </hyperlinks>
  <pageMargins left="0.2" right="0.2" top="0.2" bottom="0.2" header="0" footer="0"/>
  <pageSetup orientation="landscape"/>
  <tableParts count="2">
    <tablePart r:id="rId18"/>
    <tablePart r:id="rId19"/>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38761D"/>
  </sheetPr>
  <dimension ref="A1:E40"/>
  <sheetViews>
    <sheetView workbookViewId="0">
      <pane xSplit="2" ySplit="2" topLeftCell="C39" activePane="bottomRight" state="frozen"/>
      <selection pane="topRight" activeCell="C1" sqref="C1"/>
      <selection pane="bottomLeft" activeCell="A3" sqref="A3"/>
      <selection pane="bottomRight" activeCell="B2" sqref="B2"/>
    </sheetView>
  </sheetViews>
  <sheetFormatPr defaultColWidth="11.25" defaultRowHeight="55" customHeight="1" x14ac:dyDescent="0.35"/>
  <cols>
    <col min="1" max="1" width="15.6640625" customWidth="1"/>
    <col min="2" max="2" width="30.6640625" customWidth="1"/>
    <col min="3" max="3" width="12.75" customWidth="1"/>
    <col min="4" max="4" width="27.9140625" customWidth="1"/>
    <col min="5" max="5" width="57.5" customWidth="1"/>
  </cols>
  <sheetData>
    <row r="1" spans="1:5" ht="55" customHeight="1" x14ac:dyDescent="0.35">
      <c r="A1" s="54" t="s">
        <v>37</v>
      </c>
      <c r="B1" s="60"/>
      <c r="C1" s="61"/>
      <c r="D1" s="60"/>
      <c r="E1" s="60"/>
    </row>
    <row r="2" spans="1:5" ht="55" customHeight="1" x14ac:dyDescent="0.35">
      <c r="A2" s="57" t="s">
        <v>38</v>
      </c>
      <c r="B2" s="58" t="s">
        <v>17</v>
      </c>
      <c r="C2" s="62" t="s">
        <v>18</v>
      </c>
      <c r="D2" s="58" t="s">
        <v>19</v>
      </c>
      <c r="E2" s="58" t="s">
        <v>20</v>
      </c>
    </row>
    <row r="3" spans="1:5" ht="55" customHeight="1" x14ac:dyDescent="0.35">
      <c r="A3" s="16" t="str">
        <f ca="1">IFERROR(__xludf.DUMMYFUNCTION("Query(importrange(""https://docs.google.com/spreadsheets/d/1t10Foe1vTEZyMDsOA_q-Q29vy-Kz9U_eP3ItSEmmPak/edit#gid=525286931"",""HCaTS Master Contracts info!A2:X137""),""SELECT Col8, Col13, Col16, Col17,Col24 where Col8 is not null order by Col13"",0)"),"1")</f>
        <v>1</v>
      </c>
      <c r="B3" s="17"/>
      <c r="C3" s="18"/>
      <c r="D3" s="19"/>
      <c r="E3" s="19"/>
    </row>
    <row r="4" spans="1:5" ht="55" customHeight="1" x14ac:dyDescent="0.35">
      <c r="A4" s="16" t="str">
        <f ca="1">IFERROR(__xludf.DUMMYFUNCTION("""COMPUTED_VALUE"""),"47QREB21D0019")</f>
        <v>47QREB21D0019</v>
      </c>
      <c r="B4" s="17" t="str">
        <f ca="1">IFERROR(__xludf.DUMMYFUNCTION("""COMPUTED_VALUE"""),"A P Ventures, LLC")</f>
        <v>A P Ventures, LLC</v>
      </c>
      <c r="C4" s="18" t="str">
        <f ca="1">IFERROR(__xludf.DUMMYFUNCTION("""COMPUTED_VALUE"""),"CF46HNY9JH31")</f>
        <v>CF46HNY9JH31</v>
      </c>
      <c r="D4" s="19" t="str">
        <f ca="1">IFERROR(__xludf.DUMMYFUNCTION("""COMPUTED_VALUE"""),"9520 Berger Road, Suite 107, Columbia, MD 21046, U.S.A.")</f>
        <v>9520 Berger Road, Suite 107, Columbia, MD 21046, U.S.A.</v>
      </c>
      <c r="E4" s="59" t="str">
        <f ca="1">IFERROR(__xludf.DUMMYFUNCTION("""COMPUTED_VALUE"""),"https://www.apvit.com/ContractVehicles/hcats")</f>
        <v>https://www.apvit.com/ContractVehicles/hcats</v>
      </c>
    </row>
    <row r="5" spans="1:5" ht="55" customHeight="1" x14ac:dyDescent="0.35">
      <c r="A5" s="16" t="str">
        <f ca="1">IFERROR(__xludf.DUMMYFUNCTION("""COMPUTED_VALUE"""),"47QREB21D0020")</f>
        <v>47QREB21D0020</v>
      </c>
      <c r="B5" s="17" t="str">
        <f ca="1">IFERROR(__xludf.DUMMYFUNCTION("""COMPUTED_VALUE"""),"Advanced Computer Learning Company, LLC")</f>
        <v>Advanced Computer Learning Company, LLC</v>
      </c>
      <c r="C5" s="18" t="str">
        <f ca="1">IFERROR(__xludf.DUMMYFUNCTION("""COMPUTED_VALUE"""),"XV6JNSC2R3D7")</f>
        <v>XV6JNSC2R3D7</v>
      </c>
      <c r="D5" s="19" t="str">
        <f ca="1">IFERROR(__xludf.DUMMYFUNCTION("""COMPUTED_VALUE"""),"208 C Hay Street, Suite C, Fayetteville NC 28301")</f>
        <v>208 C Hay Street, Suite C, Fayetteville NC 28301</v>
      </c>
      <c r="E5" s="59" t="str">
        <f ca="1">IFERROR(__xludf.DUMMYFUNCTION("""COMPUTED_VALUE"""),"http://www.goaclc.com/hcats/")</f>
        <v>http://www.goaclc.com/hcats/</v>
      </c>
    </row>
    <row r="6" spans="1:5" ht="55" customHeight="1" x14ac:dyDescent="0.35">
      <c r="A6" s="16" t="str">
        <f ca="1">IFERROR(__xludf.DUMMYFUNCTION("""COMPUTED_VALUE"""),"47QREB21D0021")</f>
        <v>47QREB21D0021</v>
      </c>
      <c r="B6" s="17" t="str">
        <f ca="1">IFERROR(__xludf.DUMMYFUNCTION("""COMPUTED_VALUE"""),"Cape Fox Facilities Services, LLC")</f>
        <v>Cape Fox Facilities Services, LLC</v>
      </c>
      <c r="C6" s="18" t="str">
        <f ca="1">IFERROR(__xludf.DUMMYFUNCTION("""COMPUTED_VALUE"""),"REPXSNVME884")</f>
        <v>REPXSNVME884</v>
      </c>
      <c r="D6" s="19" t="str">
        <f ca="1">IFERROR(__xludf.DUMMYFUNCTION("""COMPUTED_VALUE"""),"14360 Newbrook Drive, Suite 200, Chantilly, VA 20151")</f>
        <v>14360 Newbrook Drive, Suite 200, Chantilly, VA 20151</v>
      </c>
      <c r="E6" s="59" t="str">
        <f ca="1">IFERROR(__xludf.DUMMYFUNCTION("""COMPUTED_VALUE"""),"https://www.capefoxfcg.com/subsidiaries/hcats8a_cffs.shtml")</f>
        <v>https://www.capefoxfcg.com/subsidiaries/hcats8a_cffs.shtml</v>
      </c>
    </row>
    <row r="7" spans="1:5" ht="55" customHeight="1" x14ac:dyDescent="0.35">
      <c r="A7" s="16" t="str">
        <f ca="1">IFERROR(__xludf.DUMMYFUNCTION("""COMPUTED_VALUE"""),"47QREB21D0022")</f>
        <v>47QREB21D0022</v>
      </c>
      <c r="B7" s="17" t="str">
        <f ca="1">IFERROR(__xludf.DUMMYFUNCTION("""COMPUTED_VALUE"""),"Changeis, Inc")</f>
        <v>Changeis, Inc</v>
      </c>
      <c r="C7" s="18" t="str">
        <f ca="1">IFERROR(__xludf.DUMMYFUNCTION("""COMPUTED_VALUE"""),"EBUKVBEHZJD3")</f>
        <v>EBUKVBEHZJD3</v>
      </c>
      <c r="D7" s="19" t="str">
        <f ca="1">IFERROR(__xludf.DUMMYFUNCTION("""COMPUTED_VALUE"""),"1530 Wilson Boulevard # 340
Arlington, VA, 22209-2447")</f>
        <v>1530 Wilson Boulevard # 340
Arlington, VA, 22209-2447</v>
      </c>
      <c r="E7" s="59" t="str">
        <f ca="1">IFERROR(__xludf.DUMMYFUNCTION("""COMPUTED_VALUE"""),"https://changeis.com/hcats/")</f>
        <v>https://changeis.com/hcats/</v>
      </c>
    </row>
    <row r="8" spans="1:5" ht="55" customHeight="1" x14ac:dyDescent="0.35">
      <c r="A8" s="16" t="str">
        <f ca="1">IFERROR(__xludf.DUMMYFUNCTION("""COMPUTED_VALUE"""),"47QREB21D0023")</f>
        <v>47QREB21D0023</v>
      </c>
      <c r="B8" s="17" t="str">
        <f ca="1">IFERROR(__xludf.DUMMYFUNCTION("""COMPUTED_VALUE"""),"Chickasaw Aerospace, LLC")</f>
        <v>Chickasaw Aerospace, LLC</v>
      </c>
      <c r="C8" s="18" t="str">
        <f ca="1">IFERROR(__xludf.DUMMYFUNCTION("""COMPUTED_VALUE"""),"LG5PXWCQ4YU5")</f>
        <v>LG5PXWCQ4YU5</v>
      </c>
      <c r="D8" s="19" t="str">
        <f ca="1">IFERROR(__xludf.DUMMYFUNCTION("""COMPUTED_VALUE"""),"2600 John Saxon Blvd Ste 2222 
Norman, OK, 73071-1166")</f>
        <v>2600 John Saxon Blvd Ste 2222 
Norman, OK, 73071-1166</v>
      </c>
      <c r="E8" s="59" t="str">
        <f ca="1">IFERROR(__xludf.DUMMYFUNCTION("""COMPUTED_VALUE"""),"https://chickasawfederal.com/chickasawaerospace")</f>
        <v>https://chickasawfederal.com/chickasawaerospace</v>
      </c>
    </row>
    <row r="9" spans="1:5" ht="55" customHeight="1" x14ac:dyDescent="0.35">
      <c r="A9" s="16" t="str">
        <f ca="1">IFERROR(__xludf.DUMMYFUNCTION("""COMPUTED_VALUE"""),"47QREB21D0024")</f>
        <v>47QREB21D0024</v>
      </c>
      <c r="B9" s="17" t="str">
        <f ca="1">IFERROR(__xludf.DUMMYFUNCTION("""COMPUTED_VALUE"""),"Cirrus Federal Solutions, LLC")</f>
        <v>Cirrus Federal Solutions, LLC</v>
      </c>
      <c r="C9" s="18" t="str">
        <f ca="1">IFERROR(__xludf.DUMMYFUNCTION("""COMPUTED_VALUE"""),"H1ZYLTJAJQ84")</f>
        <v>H1ZYLTJAJQ84</v>
      </c>
      <c r="D9" s="19" t="str">
        <f ca="1">IFERROR(__xludf.DUMMYFUNCTION("""COMPUTED_VALUE"""),"3463 Magic Dr Apt 303
San Antonio, TX, 78229-2974")</f>
        <v>3463 Magic Dr Apt 303
San Antonio, TX, 78229-2974</v>
      </c>
      <c r="E9" s="59" t="str">
        <f ca="1">IFERROR(__xludf.DUMMYFUNCTION("""COMPUTED_VALUE"""),"https://www.bestica.com/hcats.html")</f>
        <v>https://www.bestica.com/hcats.html</v>
      </c>
    </row>
    <row r="10" spans="1:5" ht="55" customHeight="1" x14ac:dyDescent="0.35">
      <c r="A10" s="16" t="str">
        <f ca="1">IFERROR(__xludf.DUMMYFUNCTION("""COMPUTED_VALUE"""),"47QREB21D0025")</f>
        <v>47QREB21D0025</v>
      </c>
      <c r="B10" s="17" t="str">
        <f ca="1">IFERROR(__xludf.DUMMYFUNCTION("""COMPUTED_VALUE"""),"Credence Dynamo Solutions, LLC")</f>
        <v>Credence Dynamo Solutions, LLC</v>
      </c>
      <c r="C10" s="18" t="str">
        <f ca="1">IFERROR(__xludf.DUMMYFUNCTION("""COMPUTED_VALUE"""),"VH4RGBBMUMP1")</f>
        <v>VH4RGBBMUMP1</v>
      </c>
      <c r="D10" s="19" t="str">
        <f ca="1">IFERROR(__xludf.DUMMYFUNCTION("""COMPUTED_VALUE"""),"1951 Kidwell Dr Ste 550 
Vienna, VA, 22182-3984")</f>
        <v>1951 Kidwell Dr Ste 550 
Vienna, VA, 22182-3984</v>
      </c>
      <c r="E10" s="59" t="str">
        <f ca="1">IFERROR(__xludf.DUMMYFUNCTION("""COMPUTED_VALUE"""),"https://credencedynamosolutions.com/?page_id=73")</f>
        <v>https://credencedynamosolutions.com/?page_id=73</v>
      </c>
    </row>
    <row r="11" spans="1:5" ht="55" customHeight="1" x14ac:dyDescent="0.35">
      <c r="A11" s="16" t="str">
        <f ca="1">IFERROR(__xludf.DUMMYFUNCTION("""COMPUTED_VALUE"""),"47QREB21D0026")</f>
        <v>47QREB21D0026</v>
      </c>
      <c r="B11" s="17" t="str">
        <f ca="1">IFERROR(__xludf.DUMMYFUNCTION("""COMPUTED_VALUE"""),"Dynamic Planning &amp; Response, LLC")</f>
        <v>Dynamic Planning &amp; Response, LLC</v>
      </c>
      <c r="C11" s="18" t="str">
        <f ca="1">IFERROR(__xludf.DUMMYFUNCTION("""COMPUTED_VALUE"""),"S1SWK7E3VPA3")</f>
        <v>S1SWK7E3VPA3</v>
      </c>
      <c r="D11" s="19" t="str">
        <f ca="1">IFERROR(__xludf.DUMMYFUNCTION("""COMPUTED_VALUE"""),"145 Hoolako Place, Honolulu HI 96825")</f>
        <v>145 Hoolako Place, Honolulu HI 96825</v>
      </c>
      <c r="E11" s="59" t="str">
        <f ca="1">IFERROR(__xludf.DUMMYFUNCTION("""COMPUTED_VALUE"""),"https://www.dynapnr.com/hcats-1")</f>
        <v>https://www.dynapnr.com/hcats-1</v>
      </c>
    </row>
    <row r="12" spans="1:5" ht="55" customHeight="1" x14ac:dyDescent="0.35">
      <c r="A12" s="16" t="str">
        <f ca="1">IFERROR(__xludf.DUMMYFUNCTION("""COMPUTED_VALUE"""),"47QREB21D0027")</f>
        <v>47QREB21D0027</v>
      </c>
      <c r="B12" s="17" t="str">
        <f ca="1">IFERROR(__xludf.DUMMYFUNCTION("""COMPUTED_VALUE"""),"Insignia Federal Group, LLC")</f>
        <v>Insignia Federal Group, LLC</v>
      </c>
      <c r="C12" s="18" t="str">
        <f ca="1">IFERROR(__xludf.DUMMYFUNCTION("""COMPUTED_VALUE"""),"K6YQDN9NAPG7")</f>
        <v>K6YQDN9NAPG7</v>
      </c>
      <c r="D12" s="19" t="str">
        <f ca="1">IFERROR(__xludf.DUMMYFUNCTION("""COMPUTED_VALUE"""),"1751 Pinnacle Drive, Suite 600, McLean VA 22102")</f>
        <v>1751 Pinnacle Drive, Suite 600, McLean VA 22102</v>
      </c>
      <c r="E12" s="59" t="str">
        <f ca="1">IFERROR(__xludf.DUMMYFUNCTION("""COMPUTED_VALUE"""),"https://www.insigniafederal.com/contractvehicles.html")</f>
        <v>https://www.insigniafederal.com/contractvehicles.html</v>
      </c>
    </row>
    <row r="13" spans="1:5" ht="55" customHeight="1" x14ac:dyDescent="0.35">
      <c r="A13" s="16" t="str">
        <f ca="1">IFERROR(__xludf.DUMMYFUNCTION("""COMPUTED_VALUE"""),"47QREB21D0028")</f>
        <v>47QREB21D0028</v>
      </c>
      <c r="B13" s="17" t="str">
        <f ca="1">IFERROR(__xludf.DUMMYFUNCTION("""COMPUTED_VALUE"""),"IT Concepts, Inc")</f>
        <v>IT Concepts, Inc</v>
      </c>
      <c r="C13" s="18" t="str">
        <f ca="1">IFERROR(__xludf.DUMMYFUNCTION("""COMPUTED_VALUE"""),"GJ5YALPQMCH1")</f>
        <v>GJ5YALPQMCH1</v>
      </c>
      <c r="D13" s="19" t="str">
        <f ca="1">IFERROR(__xludf.DUMMYFUNCTION("""COMPUTED_VALUE"""),"1600 SPRING HILL RD STE 305 
VIENNA, VA, 22182-2229")</f>
        <v>1600 SPRING HILL RD STE 305 
VIENNA, VA, 22182-2229</v>
      </c>
      <c r="E13" s="59" t="str">
        <f ca="1">IFERROR(__xludf.DUMMYFUNCTION("""COMPUTED_VALUE"""),"https://www.useitc.com/contract_vehicles/hcats/")</f>
        <v>https://www.useitc.com/contract_vehicles/hcats/</v>
      </c>
    </row>
    <row r="14" spans="1:5" ht="55" customHeight="1" x14ac:dyDescent="0.35">
      <c r="A14" s="16" t="str">
        <f ca="1">IFERROR(__xludf.DUMMYFUNCTION("""COMPUTED_VALUE"""),"47QREB21D0029")</f>
        <v>47QREB21D0029</v>
      </c>
      <c r="B14" s="17" t="str">
        <f ca="1">IFERROR(__xludf.DUMMYFUNCTION("""COMPUTED_VALUE"""),"Kaptivate, LLC")</f>
        <v>Kaptivate, LLC</v>
      </c>
      <c r="C14" s="18" t="str">
        <f ca="1">IFERROR(__xludf.DUMMYFUNCTION("""COMPUTED_VALUE"""),"NUKYJ4GD9A35")</f>
        <v>NUKYJ4GD9A35</v>
      </c>
      <c r="D14" s="19" t="str">
        <f ca="1">IFERROR(__xludf.DUMMYFUNCTION("""COMPUTED_VALUE"""),"516 N WASHINGTON ST
ALEXANDRIA, VA, 22314-2314")</f>
        <v>516 N WASHINGTON ST
ALEXANDRIA, VA, 22314-2314</v>
      </c>
      <c r="E14" s="59" t="str">
        <f ca="1">IFERROR(__xludf.DUMMYFUNCTION("""COMPUTED_VALUE"""),"https://www.kaptivategroup.com/hcats-8a-pool2")</f>
        <v>https://www.kaptivategroup.com/hcats-8a-pool2</v>
      </c>
    </row>
    <row r="15" spans="1:5" ht="55" customHeight="1" x14ac:dyDescent="0.35">
      <c r="A15" s="16" t="str">
        <f ca="1">IFERROR(__xludf.DUMMYFUNCTION("""COMPUTED_VALUE"""),"47QREB21D0030")</f>
        <v>47QREB21D0030</v>
      </c>
      <c r="B15" s="17" t="str">
        <f ca="1">IFERROR(__xludf.DUMMYFUNCTION("""COMPUTED_VALUE"""),"Oban Corporation")</f>
        <v>Oban Corporation</v>
      </c>
      <c r="C15" s="18" t="str">
        <f ca="1">IFERROR(__xludf.DUMMYFUNCTION("""COMPUTED_VALUE"""),"R3BFZ2VEZAT2")</f>
        <v>R3BFZ2VEZAT2</v>
      </c>
      <c r="D15" s="19" t="str">
        <f ca="1">IFERROR(__xludf.DUMMYFUNCTION("""COMPUTED_VALUE"""),"8300 Boone Blvd., Suite 500, Vienna, VA 22182   ")</f>
        <v xml:space="preserve">8300 Boone Blvd., Suite 500, Vienna, VA 22182   </v>
      </c>
      <c r="E15" s="59" t="str">
        <f ca="1">IFERROR(__xludf.DUMMYFUNCTION("""COMPUTED_VALUE"""),"https://oban-corp.com/hcats/")</f>
        <v>https://oban-corp.com/hcats/</v>
      </c>
    </row>
    <row r="16" spans="1:5" ht="55" customHeight="1" x14ac:dyDescent="0.35">
      <c r="A16" s="16" t="str">
        <f ca="1">IFERROR(__xludf.DUMMYFUNCTION("""COMPUTED_VALUE"""),"47QREB21D0031")</f>
        <v>47QREB21D0031</v>
      </c>
      <c r="B16" s="17" t="str">
        <f ca="1">IFERROR(__xludf.DUMMYFUNCTION("""COMPUTED_VALUE"""),"Ortiz Group, LLC, The")</f>
        <v>Ortiz Group, LLC, The</v>
      </c>
      <c r="C16" s="18" t="str">
        <f ca="1">IFERROR(__xludf.DUMMYFUNCTION("""COMPUTED_VALUE"""),"H13JNWRGG5W5")</f>
        <v>H13JNWRGG5W5</v>
      </c>
      <c r="D16" s="19" t="str">
        <f ca="1">IFERROR(__xludf.DUMMYFUNCTION("""COMPUTED_VALUE"""),"984 Autumn Oak Cir 
Concord, CA, 94521-5440")</f>
        <v>984 Autumn Oak Cir 
Concord, CA, 94521-5440</v>
      </c>
      <c r="E16" s="59" t="str">
        <f ca="1">IFERROR(__xludf.DUMMYFUNCTION("""COMPUTED_VALUE"""),"https://ortiz-group.com/hcats/")</f>
        <v>https://ortiz-group.com/hcats/</v>
      </c>
    </row>
    <row r="17" spans="1:5" ht="55" customHeight="1" x14ac:dyDescent="0.35">
      <c r="A17" s="16" t="str">
        <f ca="1">IFERROR(__xludf.DUMMYFUNCTION("""COMPUTED_VALUE"""),"47QREB21D0032")</f>
        <v>47QREB21D0032</v>
      </c>
      <c r="B17" s="17" t="str">
        <f ca="1">IFERROR(__xludf.DUMMYFUNCTION("""COMPUTED_VALUE"""),"Potawatomi Training LLC")</f>
        <v>Potawatomi Training LLC</v>
      </c>
      <c r="C17" s="18" t="str">
        <f ca="1">IFERROR(__xludf.DUMMYFUNCTION("""COMPUTED_VALUE"""),"CSDHX8S6TAK4")</f>
        <v>CSDHX8S6TAK4</v>
      </c>
      <c r="D17" s="19" t="str">
        <f ca="1">IFERROR(__xludf.DUMMYFUNCTION("""COMPUTED_VALUE"""),"3215 W. State Street Suite 309D
Milwaukee, WI, 53208-3364")</f>
        <v>3215 W. State Street Suite 309D
Milwaukee, WI, 53208-3364</v>
      </c>
      <c r="E17" s="59" t="str">
        <f ca="1">IFERROR(__xludf.DUMMYFUNCTION("""COMPUTED_VALUE"""),"https://www.potawatomitr.com/hcats")</f>
        <v>https://www.potawatomitr.com/hcats</v>
      </c>
    </row>
    <row r="18" spans="1:5" ht="55" customHeight="1" x14ac:dyDescent="0.35">
      <c r="A18" s="16" t="str">
        <f ca="1">IFERROR(__xludf.DUMMYFUNCTION("""COMPUTED_VALUE"""),"47QREB21D0033")</f>
        <v>47QREB21D0033</v>
      </c>
      <c r="B18" s="17" t="str">
        <f ca="1">IFERROR(__xludf.DUMMYFUNCTION("""COMPUTED_VALUE"""),"Precise Federal Consulting, LLC")</f>
        <v>Precise Federal Consulting, LLC</v>
      </c>
      <c r="C18" s="18" t="str">
        <f ca="1">IFERROR(__xludf.DUMMYFUNCTION("""COMPUTED_VALUE"""),"QFWZRK6KN1N2")</f>
        <v>QFWZRK6KN1N2</v>
      </c>
      <c r="D18" s="19" t="str">
        <f ca="1">IFERROR(__xludf.DUMMYFUNCTION("""COMPUTED_VALUE"""),"7701 Greenbelt Rd Ste 501 
Greenbelt, MD, 20770-6523")</f>
        <v>7701 Greenbelt Rd Ste 501 
Greenbelt, MD, 20770-6523</v>
      </c>
      <c r="E18" s="59" t="str">
        <f ca="1">IFERROR(__xludf.DUMMYFUNCTION("""COMPUTED_VALUE"""),"http://www.precisefederal.com/contractvehicles.html")</f>
        <v>http://www.precisefederal.com/contractvehicles.html</v>
      </c>
    </row>
    <row r="19" spans="1:5" ht="55" customHeight="1" x14ac:dyDescent="0.35">
      <c r="A19" s="16" t="str">
        <f ca="1">IFERROR(__xludf.DUMMYFUNCTION("""COMPUTED_VALUE"""),"47QREB21D0034")</f>
        <v>47QREB21D0034</v>
      </c>
      <c r="B19" s="17" t="str">
        <f ca="1">IFERROR(__xludf.DUMMYFUNCTION("""COMPUTED_VALUE"""),"PTG International, Inc")</f>
        <v>PTG International, Inc</v>
      </c>
      <c r="C19" s="18" t="str">
        <f ca="1">IFERROR(__xludf.DUMMYFUNCTION("""COMPUTED_VALUE"""),"EHVWQC5LJRV9")</f>
        <v>EHVWQC5LJRV9</v>
      </c>
      <c r="D19" s="19" t="str">
        <f ca="1">IFERROR(__xludf.DUMMYFUNCTION("""COMPUTED_VALUE"""),"13227 Executive Park Ter 
Germantown, MD, 20874-2648")</f>
        <v>13227 Executive Park Ter 
Germantown, MD, 20874-2648</v>
      </c>
      <c r="E19" s="59" t="str">
        <f ca="1">IFERROR(__xludf.DUMMYFUNCTION("""COMPUTED_VALUE"""),"https://ptg-intl.com/contract-vehicles/#hcats-cv")</f>
        <v>https://ptg-intl.com/contract-vehicles/#hcats-cv</v>
      </c>
    </row>
    <row r="20" spans="1:5" ht="55" customHeight="1" x14ac:dyDescent="0.35">
      <c r="A20" s="16" t="str">
        <f ca="1">IFERROR(__xludf.DUMMYFUNCTION("""COMPUTED_VALUE"""),"47QREB21D0035")</f>
        <v>47QREB21D0035</v>
      </c>
      <c r="B20" s="17" t="str">
        <f ca="1">IFERROR(__xludf.DUMMYFUNCTION("""COMPUTED_VALUE"""),"Radian Solutions, LLC")</f>
        <v>Radian Solutions, LLC</v>
      </c>
      <c r="C20" s="18" t="str">
        <f ca="1">IFERROR(__xludf.DUMMYFUNCTION("""COMPUTED_VALUE"""),"ZTLKKMSN9RV7")</f>
        <v>ZTLKKMSN9RV7</v>
      </c>
      <c r="D20" s="19" t="str">
        <f ca="1">IFERROR(__xludf.DUMMYFUNCTION("""COMPUTED_VALUE"""),"717 K St Ste 403 
Sacramento, CA, 95814-3408")</f>
        <v>717 K St Ste 403 
Sacramento, CA, 95814-3408</v>
      </c>
      <c r="E20" s="59" t="str">
        <f ca="1">IFERROR(__xludf.DUMMYFUNCTION("""COMPUTED_VALUE"""),"https://radiansolutionsllc.com/contract-vehicles/")</f>
        <v>https://radiansolutionsllc.com/contract-vehicles/</v>
      </c>
    </row>
    <row r="21" spans="1:5" ht="55" customHeight="1" x14ac:dyDescent="0.35">
      <c r="A21" s="16" t="str">
        <f ca="1">IFERROR(__xludf.DUMMYFUNCTION("""COMPUTED_VALUE"""),"47QREB21D0036")</f>
        <v>47QREB21D0036</v>
      </c>
      <c r="B21" s="17" t="str">
        <f ca="1">IFERROR(__xludf.DUMMYFUNCTION("""COMPUTED_VALUE"""),"Rainmakers-LinkVisum, LLC (RSLV)")</f>
        <v>Rainmakers-LinkVisum, LLC (RSLV)</v>
      </c>
      <c r="C21" s="18" t="str">
        <f ca="1">IFERROR(__xludf.DUMMYFUNCTION("""COMPUTED_VALUE"""),"M54XCLBLTFV7")</f>
        <v>M54XCLBLTFV7</v>
      </c>
      <c r="D21" s="19" t="str">
        <f ca="1">IFERROR(__xludf.DUMMYFUNCTION("""COMPUTED_VALUE"""),"18444 N. 25th Ave, Suite 420
Phoenix, AZ, 85023-1268")</f>
        <v>18444 N. 25th Ave, Suite 420
Phoenix, AZ, 85023-1268</v>
      </c>
      <c r="E21" s="59" t="str">
        <f ca="1">IFERROR(__xludf.DUMMYFUNCTION("""COMPUTED_VALUE"""),"https://rainmakerssolutions.com/hcats")</f>
        <v>https://rainmakerssolutions.com/hcats</v>
      </c>
    </row>
    <row r="22" spans="1:5" ht="55" customHeight="1" x14ac:dyDescent="0.35">
      <c r="A22" s="16" t="str">
        <f ca="1">IFERROR(__xludf.DUMMYFUNCTION("""COMPUTED_VALUE"""),"47QREB21D0037")</f>
        <v>47QREB21D0037</v>
      </c>
      <c r="B22" s="17" t="str">
        <f ca="1">IFERROR(__xludf.DUMMYFUNCTION("""COMPUTED_VALUE"""),"RB Management Consultants")</f>
        <v>RB Management Consultants</v>
      </c>
      <c r="C22" s="18" t="str">
        <f ca="1">IFERROR(__xludf.DUMMYFUNCTION("""COMPUTED_VALUE"""),"HEAKVJCG8MV6")</f>
        <v>HEAKVJCG8MV6</v>
      </c>
      <c r="D22" s="19" t="str">
        <f ca="1">IFERROR(__xludf.DUMMYFUNCTION("""COMPUTED_VALUE"""),"1777 North Kent Street  4th  Floor Arlington VA 22202-3709")</f>
        <v>1777 North Kent Street  4th  Floor Arlington VA 22202-3709</v>
      </c>
      <c r="E22" s="59" t="str">
        <f ca="1">IFERROR(__xludf.DUMMYFUNCTION("""COMPUTED_VALUE"""),"https://rbmanagementconsultants.com/rbmc-hcats/")</f>
        <v>https://rbmanagementconsultants.com/rbmc-hcats/</v>
      </c>
    </row>
    <row r="23" spans="1:5" ht="55" customHeight="1" x14ac:dyDescent="0.35">
      <c r="A23" s="16" t="str">
        <f ca="1">IFERROR(__xludf.DUMMYFUNCTION("""COMPUTED_VALUE"""),"47QREB21D0038")</f>
        <v>47QREB21D0038</v>
      </c>
      <c r="B23" s="17" t="str">
        <f ca="1">IFERROR(__xludf.DUMMYFUNCTION("""COMPUTED_VALUE"""),"RiVidium Inc")</f>
        <v>RiVidium Inc</v>
      </c>
      <c r="C23" s="18" t="str">
        <f ca="1">IFERROR(__xludf.DUMMYFUNCTION("""COMPUTED_VALUE"""),"WRHHNUK5YBN1")</f>
        <v>WRHHNUK5YBN1</v>
      </c>
      <c r="D23" s="19" t="str">
        <f ca="1">IFERROR(__xludf.DUMMYFUNCTION("""COMPUTED_VALUE"""),"10530 Linden Lake Plaza, Suite 200, Manassas, VA 20109")</f>
        <v>10530 Linden Lake Plaza, Suite 200, Manassas, VA 20109</v>
      </c>
      <c r="E23" s="59" t="str">
        <f ca="1">IFERROR(__xludf.DUMMYFUNCTION("""COMPUTED_VALUE"""),"https://www.triplecyber.com")</f>
        <v>https://www.triplecyber.com</v>
      </c>
    </row>
    <row r="24" spans="1:5" ht="55" customHeight="1" x14ac:dyDescent="0.35">
      <c r="A24" s="16" t="str">
        <f ca="1">IFERROR(__xludf.DUMMYFUNCTION("""COMPUTED_VALUE"""),"47QREB21D0044")</f>
        <v>47QREB21D0044</v>
      </c>
      <c r="B24" s="17" t="str">
        <f ca="1">IFERROR(__xludf.DUMMYFUNCTION("""COMPUTED_VALUE"""),"Spatial Front, Inc")</f>
        <v>Spatial Front, Inc</v>
      </c>
      <c r="C24" s="18" t="str">
        <f ca="1">IFERROR(__xludf.DUMMYFUNCTION("""COMPUTED_VALUE"""),"J1ADW6BL8MN5")</f>
        <v>J1ADW6BL8MN5</v>
      </c>
      <c r="D24" s="19" t="str">
        <f ca="1">IFERROR(__xludf.DUMMYFUNCTION("""COMPUTED_VALUE"""),"6550 ROCK SPRING DR STE 485
BETHESDA, MD 208171133")</f>
        <v>6550 ROCK SPRING DR STE 485
BETHESDA, MD 208171133</v>
      </c>
      <c r="E24" s="59" t="str">
        <f ca="1">IFERROR(__xludf.DUMMYFUNCTION("""COMPUTED_VALUE"""),"http://www.spatialfront.com/pages/8aStars.html")</f>
        <v>http://www.spatialfront.com/pages/8aStars.html</v>
      </c>
    </row>
    <row r="25" spans="1:5" ht="55" customHeight="1" x14ac:dyDescent="0.35">
      <c r="A25" s="16" t="str">
        <f ca="1">IFERROR(__xludf.DUMMYFUNCTION("""COMPUTED_VALUE"""),"47QREB21D0039")</f>
        <v>47QREB21D0039</v>
      </c>
      <c r="B25" s="17" t="str">
        <f ca="1">IFERROR(__xludf.DUMMYFUNCTION("""COMPUTED_VALUE"""),"Texta Analytics, LLC")</f>
        <v>Texta Analytics, LLC</v>
      </c>
      <c r="C25" s="18" t="str">
        <f ca="1">IFERROR(__xludf.DUMMYFUNCTION("""COMPUTED_VALUE"""),"E3HZJCHD4R23")</f>
        <v>E3HZJCHD4R23</v>
      </c>
      <c r="D25" s="19" t="str">
        <f ca="1">IFERROR(__xludf.DUMMYFUNCTION("""COMPUTED_VALUE"""),"3975 University Dr Ste 440
Fairfax, VA, 22030-2520")</f>
        <v>3975 University Dr Ste 440
Fairfax, VA, 22030-2520</v>
      </c>
      <c r="E25" s="59" t="str">
        <f ca="1">IFERROR(__xludf.DUMMYFUNCTION("""COMPUTED_VALUE"""),"https://www.fedwriters.com/contract-vehicles/hcats/")</f>
        <v>https://www.fedwriters.com/contract-vehicles/hcats/</v>
      </c>
    </row>
    <row r="26" spans="1:5" ht="55" customHeight="1" x14ac:dyDescent="0.35">
      <c r="A26" s="16" t="str">
        <f ca="1">IFERROR(__xludf.DUMMYFUNCTION("""COMPUTED_VALUE"""),"47QREB21D0040")</f>
        <v>47QREB21D0040</v>
      </c>
      <c r="B26" s="17" t="str">
        <f ca="1">IFERROR(__xludf.DUMMYFUNCTION("""COMPUTED_VALUE"""),"Trilliance, LLC")</f>
        <v>Trilliance, LLC</v>
      </c>
      <c r="C26" s="18" t="str">
        <f ca="1">IFERROR(__xludf.DUMMYFUNCTION("""COMPUTED_VALUE"""),"RXJRFJNBXKT8")</f>
        <v>RXJRFJNBXKT8</v>
      </c>
      <c r="D26" s="19" t="str">
        <f ca="1">IFERROR(__xludf.DUMMYFUNCTION("""COMPUTED_VALUE"""),"11091 Sunset Hill Rd Ste 700
 Reston, VA 20190-5381 USA
")</f>
        <v xml:space="preserve">11091 Sunset Hill Rd Ste 700
 Reston, VA 20190-5381 USA
</v>
      </c>
      <c r="E26" s="59" t="str">
        <f ca="1">IFERROR(__xludf.DUMMYFUNCTION("""COMPUTED_VALUE"""),"https://www.broadleaf-inc.com/contract-vehicles/")</f>
        <v>https://www.broadleaf-inc.com/contract-vehicles/</v>
      </c>
    </row>
    <row r="27" spans="1:5" ht="55" customHeight="1" x14ac:dyDescent="0.35">
      <c r="A27" s="16" t="str">
        <f ca="1">IFERROR(__xludf.DUMMYFUNCTION("""COMPUTED_VALUE"""),"47QREB21D0041")</f>
        <v>47QREB21D0041</v>
      </c>
      <c r="B27" s="17" t="str">
        <f ca="1">IFERROR(__xludf.DUMMYFUNCTION("""COMPUTED_VALUE"""),"Wits Solutions Inc")</f>
        <v>Wits Solutions Inc</v>
      </c>
      <c r="C27" s="18" t="str">
        <f ca="1">IFERROR(__xludf.DUMMYFUNCTION("""COMPUTED_VALUE"""),"T2F7NSL7DQA4")</f>
        <v>T2F7NSL7DQA4</v>
      </c>
      <c r="D27" s="19" t="str">
        <f ca="1">IFERROR(__xludf.DUMMYFUNCTION("""COMPUTED_VALUE"""),"44790 Maynard Sq Ste 340 
Ashburn, VA, 20147-6514")</f>
        <v>44790 Maynard Sq Ste 340 
Ashburn, VA, 20147-6514</v>
      </c>
      <c r="E27" s="59" t="str">
        <f ca="1">IFERROR(__xludf.DUMMYFUNCTION("""COMPUTED_VALUE"""),"http://www.witssolutions.com/contract-vehicles/hcats-8a-pool-2/")</f>
        <v>http://www.witssolutions.com/contract-vehicles/hcats-8a-pool-2/</v>
      </c>
    </row>
    <row r="28" spans="1:5" ht="55" customHeight="1" x14ac:dyDescent="0.35">
      <c r="A28" s="16" t="str">
        <f ca="1">IFERROR(__xludf.DUMMYFUNCTION("""COMPUTED_VALUE"""),"47QREB21D0043")</f>
        <v>47QREB21D0043</v>
      </c>
      <c r="B28" s="17" t="str">
        <f ca="1">IFERROR(__xludf.DUMMYFUNCTION("""COMPUTED_VALUE"""),"Workforce Innovations JV")</f>
        <v>Workforce Innovations JV</v>
      </c>
      <c r="C28" s="18" t="str">
        <f ca="1">IFERROR(__xludf.DUMMYFUNCTION("""COMPUTED_VALUE"""),"G4XEWJFFT3K3")</f>
        <v>G4XEWJFFT3K3</v>
      </c>
      <c r="D28" s="19" t="str">
        <f ca="1">IFERROR(__xludf.DUMMYFUNCTION("""COMPUTED_VALUE"""),"3909 Arctic Blvd Ste 500
Anchorage, AK, 99503-5793")</f>
        <v>3909 Arctic Blvd Ste 500
Anchorage, AK, 99503-5793</v>
      </c>
      <c r="E28" s="59" t="str">
        <f ca="1">IFERROR(__xludf.DUMMYFUNCTION("""COMPUTED_VALUE"""),"http://www.whitespaceinnovations.com/workforce-innovations-human-capital-and-training-solutions/")</f>
        <v>http://www.whitespaceinnovations.com/workforce-innovations-human-capital-and-training-solutions/</v>
      </c>
    </row>
    <row r="29" spans="1:5" ht="55" customHeight="1" x14ac:dyDescent="0.35">
      <c r="A29" s="16" t="str">
        <f ca="1">IFERROR(__xludf.DUMMYFUNCTION("""COMPUTED_VALUE"""),"47QREB21D0042")</f>
        <v>47QREB21D0042</v>
      </c>
      <c r="B29" s="17" t="str">
        <f ca="1">IFERROR(__xludf.DUMMYFUNCTION("""COMPUTED_VALUE"""),"WWC Global LLC")</f>
        <v>WWC Global LLC</v>
      </c>
      <c r="C29" s="18" t="str">
        <f ca="1">IFERROR(__xludf.DUMMYFUNCTION("""COMPUTED_VALUE"""),"NDYNH8RJT3G8")</f>
        <v>NDYNH8RJT3G8</v>
      </c>
      <c r="D29" s="19" t="str">
        <f ca="1">IFERROR(__xludf.DUMMYFUNCTION("""COMPUTED_VALUE"""),"5304 Clouds Peak Drive 
Lutz, FL, 33558-4961")</f>
        <v>5304 Clouds Peak Drive 
Lutz, FL, 33558-4961</v>
      </c>
      <c r="E29" s="59" t="str">
        <f ca="1">IFERROR(__xludf.DUMMYFUNCTION("""COMPUTED_VALUE"""),"https://wwcglobal.com/about/contract-vehicles/hcats/")</f>
        <v>https://wwcglobal.com/about/contract-vehicles/hcats/</v>
      </c>
    </row>
    <row r="30" spans="1:5" ht="55" customHeight="1" x14ac:dyDescent="0.35">
      <c r="A30" s="16"/>
      <c r="B30" s="17"/>
      <c r="C30" s="18"/>
      <c r="D30" s="19"/>
      <c r="E30" s="19"/>
    </row>
    <row r="31" spans="1:5" ht="55" customHeight="1" x14ac:dyDescent="0.35">
      <c r="A31" s="16"/>
      <c r="B31" s="17"/>
      <c r="C31" s="18"/>
      <c r="D31" s="19"/>
      <c r="E31" s="19"/>
    </row>
    <row r="32" spans="1:5" ht="55" customHeight="1" x14ac:dyDescent="0.35">
      <c r="A32" s="16"/>
      <c r="B32" s="17"/>
      <c r="C32" s="18"/>
      <c r="D32" s="19"/>
      <c r="E32" s="19"/>
    </row>
    <row r="33" spans="1:5" ht="55" customHeight="1" x14ac:dyDescent="0.35">
      <c r="A33" s="16"/>
      <c r="B33" s="17"/>
      <c r="C33" s="18"/>
      <c r="D33" s="19"/>
      <c r="E33" s="19"/>
    </row>
    <row r="34" spans="1:5" ht="55" customHeight="1" x14ac:dyDescent="0.35">
      <c r="A34" s="16"/>
      <c r="B34" s="17"/>
      <c r="C34" s="18"/>
      <c r="D34" s="19"/>
      <c r="E34" s="19"/>
    </row>
    <row r="35" spans="1:5" ht="55" customHeight="1" x14ac:dyDescent="0.35">
      <c r="A35" s="16"/>
      <c r="B35" s="17"/>
      <c r="C35" s="18"/>
      <c r="D35" s="19"/>
      <c r="E35" s="19"/>
    </row>
    <row r="36" spans="1:5" ht="55" customHeight="1" x14ac:dyDescent="0.35">
      <c r="A36" s="16"/>
      <c r="B36" s="17"/>
      <c r="C36" s="18"/>
      <c r="D36" s="19"/>
      <c r="E36" s="19"/>
    </row>
    <row r="37" spans="1:5" ht="55" customHeight="1" x14ac:dyDescent="0.35">
      <c r="A37" s="16"/>
      <c r="B37" s="17"/>
      <c r="C37" s="18"/>
      <c r="D37" s="19"/>
      <c r="E37" s="19"/>
    </row>
    <row r="38" spans="1:5" ht="55" customHeight="1" x14ac:dyDescent="0.35">
      <c r="A38" s="16"/>
      <c r="B38" s="17"/>
      <c r="C38" s="18"/>
      <c r="D38" s="19"/>
      <c r="E38" s="19"/>
    </row>
    <row r="39" spans="1:5" ht="55" customHeight="1" x14ac:dyDescent="0.35">
      <c r="A39" s="16"/>
      <c r="B39" s="17"/>
      <c r="C39" s="18"/>
      <c r="D39" s="19"/>
      <c r="E39" s="19"/>
    </row>
    <row r="40" spans="1:5" ht="55" customHeight="1" x14ac:dyDescent="0.35">
      <c r="A40" s="16"/>
      <c r="B40" s="17"/>
      <c r="C40" s="18"/>
      <c r="D40" s="19"/>
      <c r="E40" s="19"/>
    </row>
  </sheetData>
  <hyperlinks>
    <hyperlink ref="E4" r:id="rId1" display="https://www.apvit.com/ContractVehicles/hcats" xr:uid="{00000000-0004-0000-0600-000000000000}"/>
    <hyperlink ref="E5" r:id="rId2" display="http://www.goaclc.com/hcats/" xr:uid="{00000000-0004-0000-0600-000001000000}"/>
    <hyperlink ref="E6" r:id="rId3" display="https://www.capefoxfcg.com/subsidiaries/hcats8a_cffs.shtml" xr:uid="{00000000-0004-0000-0600-000002000000}"/>
    <hyperlink ref="E7" r:id="rId4" display="https://changeis.com/hcats/" xr:uid="{00000000-0004-0000-0600-000003000000}"/>
    <hyperlink ref="E8" r:id="rId5" display="https://chickasawfederal.com/chickasawaerospace" xr:uid="{00000000-0004-0000-0600-000004000000}"/>
    <hyperlink ref="E9" r:id="rId6" display="https://www.bestica.com/hcats.html" xr:uid="{00000000-0004-0000-0600-000005000000}"/>
    <hyperlink ref="E10" r:id="rId7" display="https://credencedynamosolutions.com/?page_id=73" xr:uid="{00000000-0004-0000-0600-000006000000}"/>
    <hyperlink ref="E11" r:id="rId8" display="https://www.dynapnr.com/hcats-1" xr:uid="{00000000-0004-0000-0600-000007000000}"/>
    <hyperlink ref="E12" r:id="rId9" display="https://www.insigniafederal.com/contractvehicles.html" xr:uid="{00000000-0004-0000-0600-000008000000}"/>
    <hyperlink ref="E13" r:id="rId10" display="https://www.useitc.com/contract_vehicles/hcats/" xr:uid="{00000000-0004-0000-0600-000009000000}"/>
    <hyperlink ref="E14" r:id="rId11" display="https://www.kaptivategroup.com/hcats-8a-pool2" xr:uid="{00000000-0004-0000-0600-00000A000000}"/>
    <hyperlink ref="E15" r:id="rId12" display="https://oban-corp.com/hcats/" xr:uid="{00000000-0004-0000-0600-00000B000000}"/>
    <hyperlink ref="E16" r:id="rId13" display="https://ortiz-group.com/hcats/" xr:uid="{00000000-0004-0000-0600-00000C000000}"/>
    <hyperlink ref="E17" r:id="rId14" display="https://www.potawatomitr.com/hcats" xr:uid="{00000000-0004-0000-0600-00000D000000}"/>
    <hyperlink ref="E18" r:id="rId15" display="http://www.precisefederal.com/contractvehicles.html" xr:uid="{00000000-0004-0000-0600-00000E000000}"/>
    <hyperlink ref="E19" r:id="rId16" location="hcats-cv" display="https://ptg-intl.com/contract-vehicles/ - hcats-cv" xr:uid="{00000000-0004-0000-0600-00000F000000}"/>
    <hyperlink ref="E20" r:id="rId17" display="https://radiansolutionsllc.com/contract-vehicles/" xr:uid="{00000000-0004-0000-0600-000010000000}"/>
    <hyperlink ref="E21" r:id="rId18" display="https://rainmakerssolutions.com/hcats" xr:uid="{00000000-0004-0000-0600-000011000000}"/>
    <hyperlink ref="E22" r:id="rId19" display="https://rbmanagementconsultants.com/rbmc-hcats/" xr:uid="{00000000-0004-0000-0600-000012000000}"/>
    <hyperlink ref="E23" r:id="rId20" display="https://www.triplecyber.com/" xr:uid="{00000000-0004-0000-0600-000013000000}"/>
    <hyperlink ref="E24" r:id="rId21" display="http://www.spatialfront.com/pages/8aStars.html" xr:uid="{00000000-0004-0000-0600-000014000000}"/>
    <hyperlink ref="E25" r:id="rId22" display="https://www.fedwriters.com/contract-vehicles/hcats/" xr:uid="{00000000-0004-0000-0600-000015000000}"/>
    <hyperlink ref="E26" r:id="rId23" display="https://www.broadleaf-inc.com/contract-vehicles/" xr:uid="{00000000-0004-0000-0600-000016000000}"/>
    <hyperlink ref="E27" r:id="rId24" display="http://www.witssolutions.com/contract-vehicles/hcats-8a-pool-2/" xr:uid="{00000000-0004-0000-0600-000017000000}"/>
    <hyperlink ref="E28" r:id="rId25" display="http://www.whitespaceinnovations.com/workforce-innovations-human-capital-and-training-solutions/" xr:uid="{00000000-0004-0000-0600-000018000000}"/>
    <hyperlink ref="E29" r:id="rId26" display="https://wwcglobal.com/about/contract-vehicles/hcats/" xr:uid="{00000000-0004-0000-0600-000019000000}"/>
  </hyperlinks>
  <pageMargins left="0.2" right="0.2" top="0.2" bottom="0.2" header="0" footer="0"/>
  <pageSetup orientation="landscape"/>
  <tableParts count="2">
    <tablePart r:id="rId27"/>
    <tablePart r:id="rId28"/>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666666"/>
    <outlinePr summaryBelow="0" summaryRight="0"/>
  </sheetPr>
  <dimension ref="A1:G527"/>
  <sheetViews>
    <sheetView tabSelected="1" workbookViewId="0">
      <selection sqref="A1:G1"/>
    </sheetView>
  </sheetViews>
  <sheetFormatPr defaultColWidth="11.25" defaultRowHeight="15" customHeight="1" x14ac:dyDescent="0.35"/>
  <cols>
    <col min="1" max="1" width="7.6640625" customWidth="1"/>
    <col min="2" max="2" width="7" customWidth="1"/>
    <col min="3" max="3" width="37.08203125" customWidth="1"/>
    <col min="4" max="4" width="17.58203125" customWidth="1"/>
    <col min="6" max="6" width="21.33203125" customWidth="1"/>
    <col min="7" max="7" width="12.9140625" customWidth="1"/>
  </cols>
  <sheetData>
    <row r="1" spans="1:7" ht="93.75" customHeight="1" x14ac:dyDescent="0.35">
      <c r="A1" s="88" t="s">
        <v>39</v>
      </c>
      <c r="B1" s="76"/>
      <c r="C1" s="76"/>
      <c r="D1" s="76"/>
      <c r="E1" s="76"/>
      <c r="F1" s="76"/>
      <c r="G1" s="76"/>
    </row>
    <row r="2" spans="1:7" ht="15.5" x14ac:dyDescent="0.35">
      <c r="A2" s="63" t="s">
        <v>40</v>
      </c>
      <c r="B2" s="63" t="s">
        <v>41</v>
      </c>
      <c r="C2" s="63" t="s">
        <v>42</v>
      </c>
      <c r="D2" s="63" t="s">
        <v>43</v>
      </c>
      <c r="E2" s="63" t="s">
        <v>44</v>
      </c>
      <c r="F2" s="63" t="s">
        <v>45</v>
      </c>
      <c r="G2" s="63" t="s">
        <v>46</v>
      </c>
    </row>
    <row r="3" spans="1:7" ht="15.5" x14ac:dyDescent="0.35">
      <c r="A3" s="64" t="str">
        <f ca="1">IFERROR(__xludf.DUMMYFUNCTION("importrange(""https://docs.google.com/spreadsheets/d/1t10Foe1vTEZyMDsOA_q-Q29vy-Kz9U_eP3ItSEmmPak/edit#gid=525286931"",""Inactive Contracts Status!A2:G50"")"),"U")</f>
        <v>U</v>
      </c>
      <c r="B3" s="65" t="str">
        <f ca="1">IFERROR(__xludf.DUMMYFUNCTION("""COMPUTED_VALUE"""),"Pool 2")</f>
        <v>Pool 2</v>
      </c>
      <c r="C3" s="64" t="str">
        <f ca="1">IFERROR(__xludf.DUMMYFUNCTION("""COMPUTED_VALUE"""),"Censeo Consulting Group")</f>
        <v>Censeo Consulting Group</v>
      </c>
      <c r="D3" s="64" t="str">
        <f ca="1">IFERROR(__xludf.DUMMYFUNCTION("""COMPUTED_VALUE"""),"GS02Q16DCR0111")</f>
        <v>GS02Q16DCR0111</v>
      </c>
      <c r="E3" s="64" t="str">
        <f ca="1">IFERROR(__xludf.DUMMYFUNCTION("""COMPUTED_VALUE"""),"Closed")</f>
        <v>Closed</v>
      </c>
      <c r="F3" s="64" t="str">
        <f ca="1">IFERROR(__xludf.DUMMYFUNCTION("""COMPUTED_VALUE"""),"Repositioned")</f>
        <v>Repositioned</v>
      </c>
      <c r="G3" s="66">
        <f ca="1">IFERROR(__xludf.DUMMYFUNCTION("""COMPUTED_VALUE"""),44456)</f>
        <v>44456</v>
      </c>
    </row>
    <row r="4" spans="1:7" ht="15.5" x14ac:dyDescent="0.35">
      <c r="A4" s="67" t="str">
        <f ca="1">IFERROR(__xludf.DUMMYFUNCTION("""COMPUTED_VALUE"""),"U")</f>
        <v>U</v>
      </c>
      <c r="B4" s="68" t="str">
        <f ca="1">IFERROR(__xludf.DUMMYFUNCTION("""COMPUTED_VALUE"""),"Pool 1")</f>
        <v>Pool 1</v>
      </c>
      <c r="C4" s="67" t="str">
        <f ca="1">IFERROR(__xludf.DUMMYFUNCTION("""COMPUTED_VALUE"""),"Engility Corporation DBA TASC")</f>
        <v>Engility Corporation DBA TASC</v>
      </c>
      <c r="D4" s="67" t="str">
        <f ca="1">IFERROR(__xludf.DUMMYFUNCTION("""COMPUTED_VALUE"""),"GS02Q16DCR0014")</f>
        <v>GS02Q16DCR0014</v>
      </c>
      <c r="E4" s="67" t="str">
        <f ca="1">IFERROR(__xludf.DUMMYFUNCTION("""COMPUTED_VALUE"""),"Closed")</f>
        <v>Closed</v>
      </c>
      <c r="F4" s="67" t="str">
        <f ca="1">IFERROR(__xludf.DUMMYFUNCTION("""COMPUTED_VALUE"""),"Other Reasons")</f>
        <v>Other Reasons</v>
      </c>
      <c r="G4" s="69">
        <f ca="1">IFERROR(__xludf.DUMMYFUNCTION("""COMPUTED_VALUE"""),44464)</f>
        <v>44464</v>
      </c>
    </row>
    <row r="5" spans="1:7" ht="15.5" x14ac:dyDescent="0.35">
      <c r="A5" s="64" t="str">
        <f ca="1">IFERROR(__xludf.DUMMYFUNCTION("""COMPUTED_VALUE"""),"U")</f>
        <v>U</v>
      </c>
      <c r="B5" s="65" t="str">
        <f ca="1">IFERROR(__xludf.DUMMYFUNCTION("""COMPUTED_VALUE"""),"Pool 2")</f>
        <v>Pool 2</v>
      </c>
      <c r="C5" s="64" t="str">
        <f ca="1">IFERROR(__xludf.DUMMYFUNCTION("""COMPUTED_VALUE"""),"Engility Corporation DBA TASC")</f>
        <v>Engility Corporation DBA TASC</v>
      </c>
      <c r="D5" s="64" t="str">
        <f ca="1">IFERROR(__xludf.DUMMYFUNCTION("""COMPUTED_VALUE"""),"GS02Q16DCR0047")</f>
        <v>GS02Q16DCR0047</v>
      </c>
      <c r="E5" s="64" t="str">
        <f ca="1">IFERROR(__xludf.DUMMYFUNCTION("""COMPUTED_VALUE"""),"Closed")</f>
        <v>Closed</v>
      </c>
      <c r="F5" s="64" t="str">
        <f ca="1">IFERROR(__xludf.DUMMYFUNCTION("""COMPUTED_VALUE"""),"Other Reasons")</f>
        <v>Other Reasons</v>
      </c>
      <c r="G5" s="66">
        <f ca="1">IFERROR(__xludf.DUMMYFUNCTION("""COMPUTED_VALUE"""),44464)</f>
        <v>44464</v>
      </c>
    </row>
    <row r="6" spans="1:7" ht="15.5" x14ac:dyDescent="0.35">
      <c r="A6" s="67" t="str">
        <f ca="1">IFERROR(__xludf.DUMMYFUNCTION("""COMPUTED_VALUE"""),"SB")</f>
        <v>SB</v>
      </c>
      <c r="B6" s="68" t="str">
        <f ca="1">IFERROR(__xludf.DUMMYFUNCTION("""COMPUTED_VALUE"""),"Pool 1")</f>
        <v>Pool 1</v>
      </c>
      <c r="C6" s="67" t="str">
        <f ca="1">IFERROR(__xludf.DUMMYFUNCTION("""COMPUTED_VALUE"""),"HigherEchelon, Inc.")</f>
        <v>HigherEchelon, Inc.</v>
      </c>
      <c r="D6" s="67" t="str">
        <f ca="1">IFERROR(__xludf.DUMMYFUNCTION("""COMPUTED_VALUE"""),"47QREB19D0014")</f>
        <v>47QREB19D0014</v>
      </c>
      <c r="E6" s="67" t="str">
        <f ca="1">IFERROR(__xludf.DUMMYFUNCTION("""COMPUTED_VALUE"""),"Terminated")</f>
        <v>Terminated</v>
      </c>
      <c r="F6" s="67" t="str">
        <f ca="1">IFERROR(__xludf.DUMMYFUNCTION("""COMPUTED_VALUE"""),"Repositioned")</f>
        <v>Repositioned</v>
      </c>
      <c r="G6" s="69">
        <f ca="1">IFERROR(__xludf.DUMMYFUNCTION("""COMPUTED_VALUE"""),44467)</f>
        <v>44467</v>
      </c>
    </row>
    <row r="7" spans="1:7" ht="31" x14ac:dyDescent="0.35">
      <c r="A7" s="64" t="str">
        <f ca="1">IFERROR(__xludf.DUMMYFUNCTION("""COMPUTED_VALUE"""),"U")</f>
        <v>U</v>
      </c>
      <c r="B7" s="65" t="str">
        <f ca="1">IFERROR(__xludf.DUMMYFUNCTION("""COMPUTED_VALUE"""),"Pool 1")</f>
        <v>Pool 1</v>
      </c>
      <c r="C7" s="64" t="str">
        <f ca="1">IFERROR(__xludf.DUMMYFUNCTION("""COMPUTED_VALUE"""),"The Center for Organizational Excellence, Inc")</f>
        <v>The Center for Organizational Excellence, Inc</v>
      </c>
      <c r="D7" s="64" t="str">
        <f ca="1">IFERROR(__xludf.DUMMYFUNCTION("""COMPUTED_VALUE"""),"GS02Q16DCR0032")</f>
        <v>GS02Q16DCR0032</v>
      </c>
      <c r="E7" s="64" t="str">
        <f ca="1">IFERROR(__xludf.DUMMYFUNCTION("""COMPUTED_VALUE"""),"Closed")</f>
        <v>Closed</v>
      </c>
      <c r="F7" s="64" t="str">
        <f ca="1">IFERROR(__xludf.DUMMYFUNCTION("""COMPUTED_VALUE"""),"Repositioned")</f>
        <v>Repositioned</v>
      </c>
      <c r="G7" s="66">
        <f ca="1">IFERROR(__xludf.DUMMYFUNCTION("""COMPUTED_VALUE"""),44497)</f>
        <v>44497</v>
      </c>
    </row>
    <row r="8" spans="1:7" ht="15.5" x14ac:dyDescent="0.35">
      <c r="A8" s="68" t="str">
        <f ca="1">IFERROR(__xludf.DUMMYFUNCTION("""COMPUTED_VALUE"""),"SB")</f>
        <v>SB</v>
      </c>
      <c r="B8" s="68" t="str">
        <f ca="1">IFERROR(__xludf.DUMMYFUNCTION("""COMPUTED_VALUE"""),"Pool 1")</f>
        <v>Pool 1</v>
      </c>
      <c r="C8" s="68" t="str">
        <f ca="1">IFERROR(__xludf.DUMMYFUNCTION("""COMPUTED_VALUE"""),"Atlas Research, LLC")</f>
        <v>Atlas Research, LLC</v>
      </c>
      <c r="D8" s="67" t="str">
        <f ca="1">IFERROR(__xludf.DUMMYFUNCTION("""COMPUTED_VALUE"""),"GS02Q16DCR0075")</f>
        <v>GS02Q16DCR0075</v>
      </c>
      <c r="E8" s="67" t="str">
        <f ca="1">IFERROR(__xludf.DUMMYFUNCTION("""COMPUTED_VALUE"""),"Closed")</f>
        <v>Closed</v>
      </c>
      <c r="F8" s="67" t="str">
        <f ca="1">IFERROR(__xludf.DUMMYFUNCTION("""COMPUTED_VALUE"""),"Change of Business Size")</f>
        <v>Change of Business Size</v>
      </c>
      <c r="G8" s="69">
        <f ca="1">IFERROR(__xludf.DUMMYFUNCTION("""COMPUTED_VALUE"""),44509)</f>
        <v>44509</v>
      </c>
    </row>
    <row r="9" spans="1:7" ht="15.5" x14ac:dyDescent="0.35">
      <c r="A9" s="65" t="str">
        <f ca="1">IFERROR(__xludf.DUMMYFUNCTION("""COMPUTED_VALUE"""),"SB")</f>
        <v>SB</v>
      </c>
      <c r="B9" s="65" t="str">
        <f ca="1">IFERROR(__xludf.DUMMYFUNCTION("""COMPUTED_VALUE"""),"Pool 2")</f>
        <v>Pool 2</v>
      </c>
      <c r="C9" s="65" t="str">
        <f ca="1">IFERROR(__xludf.DUMMYFUNCTION("""COMPUTED_VALUE"""),"Atlas Research, LLC")</f>
        <v>Atlas Research, LLC</v>
      </c>
      <c r="D9" s="64" t="str">
        <f ca="1">IFERROR(__xludf.DUMMYFUNCTION("""COMPUTED_VALUE"""),"GS02Q16DCR0084")</f>
        <v>GS02Q16DCR0084</v>
      </c>
      <c r="E9" s="64" t="str">
        <f ca="1">IFERROR(__xludf.DUMMYFUNCTION("""COMPUTED_VALUE"""),"Closed")</f>
        <v>Closed</v>
      </c>
      <c r="F9" s="64" t="str">
        <f ca="1">IFERROR(__xludf.DUMMYFUNCTION("""COMPUTED_VALUE"""),"Change of Business Size")</f>
        <v>Change of Business Size</v>
      </c>
      <c r="G9" s="66">
        <f ca="1">IFERROR(__xludf.DUMMYFUNCTION("""COMPUTED_VALUE"""),44509)</f>
        <v>44509</v>
      </c>
    </row>
    <row r="10" spans="1:7" ht="15.5" x14ac:dyDescent="0.35">
      <c r="A10" s="67" t="str">
        <f ca="1">IFERROR(__xludf.DUMMYFUNCTION("""COMPUTED_VALUE"""),"SB")</f>
        <v>SB</v>
      </c>
      <c r="B10" s="68" t="str">
        <f ca="1">IFERROR(__xludf.DUMMYFUNCTION("""COMPUTED_VALUE"""),"Pool 1")</f>
        <v>Pool 1</v>
      </c>
      <c r="C10" s="68" t="str">
        <f ca="1">IFERROR(__xludf.DUMMYFUNCTION("""COMPUTED_VALUE"""),"Innove, LLC")</f>
        <v>Innove, LLC</v>
      </c>
      <c r="D10" s="67" t="str">
        <f ca="1">IFERROR(__xludf.DUMMYFUNCTION("""COMPUTED_VALUE"""),"47QREB19D0020")</f>
        <v>47QREB19D0020</v>
      </c>
      <c r="E10" s="67" t="str">
        <f ca="1">IFERROR(__xludf.DUMMYFUNCTION("""COMPUTED_VALUE"""),"Closed")</f>
        <v>Closed</v>
      </c>
      <c r="F10" s="67" t="str">
        <f ca="1">IFERROR(__xludf.DUMMYFUNCTION("""COMPUTED_VALUE"""),"Other Reasons")</f>
        <v>Other Reasons</v>
      </c>
      <c r="G10" s="69">
        <f ca="1">IFERROR(__xludf.DUMMYFUNCTION("""COMPUTED_VALUE"""),44509)</f>
        <v>44509</v>
      </c>
    </row>
    <row r="11" spans="1:7" ht="15.5" x14ac:dyDescent="0.35">
      <c r="A11" s="64" t="str">
        <f ca="1">IFERROR(__xludf.DUMMYFUNCTION("""COMPUTED_VALUE"""),"SB")</f>
        <v>SB</v>
      </c>
      <c r="B11" s="65" t="str">
        <f ca="1">IFERROR(__xludf.DUMMYFUNCTION("""COMPUTED_VALUE"""),"Pool 1")</f>
        <v>Pool 1</v>
      </c>
      <c r="C11" s="65" t="str">
        <f ca="1">IFERROR(__xludf.DUMMYFUNCTION("""COMPUTED_VALUE"""),"Rigil Corporation")</f>
        <v>Rigil Corporation</v>
      </c>
      <c r="D11" s="64" t="str">
        <f ca="1">IFERROR(__xludf.DUMMYFUNCTION("""COMPUTED_VALUE"""),"GS02Q16DCR0081")</f>
        <v>GS02Q16DCR0081</v>
      </c>
      <c r="E11" s="64" t="str">
        <f ca="1">IFERROR(__xludf.DUMMYFUNCTION("""COMPUTED_VALUE"""),"Closed")</f>
        <v>Closed</v>
      </c>
      <c r="F11" s="64" t="str">
        <f ca="1">IFERROR(__xludf.DUMMYFUNCTION("""COMPUTED_VALUE"""),"Repositioned")</f>
        <v>Repositioned</v>
      </c>
      <c r="G11" s="66">
        <f ca="1">IFERROR(__xludf.DUMMYFUNCTION("""COMPUTED_VALUE"""),44509)</f>
        <v>44509</v>
      </c>
    </row>
    <row r="12" spans="1:7" ht="15.5" x14ac:dyDescent="0.35">
      <c r="A12" s="67" t="str">
        <f ca="1">IFERROR(__xludf.DUMMYFUNCTION("""COMPUTED_VALUE"""),"SB")</f>
        <v>SB</v>
      </c>
      <c r="B12" s="68" t="str">
        <f ca="1">IFERROR(__xludf.DUMMYFUNCTION("""COMPUTED_VALUE"""),"Pool 2")</f>
        <v>Pool 2</v>
      </c>
      <c r="C12" s="68" t="str">
        <f ca="1">IFERROR(__xludf.DUMMYFUNCTION("""COMPUTED_VALUE"""),"Rigil Corporation")</f>
        <v>Rigil Corporation</v>
      </c>
      <c r="D12" s="67" t="str">
        <f ca="1">IFERROR(__xludf.DUMMYFUNCTION("""COMPUTED_VALUE"""),"GS02Q16DCR0106")</f>
        <v>GS02Q16DCR0106</v>
      </c>
      <c r="E12" s="67" t="str">
        <f ca="1">IFERROR(__xludf.DUMMYFUNCTION("""COMPUTED_VALUE"""),"Closed")</f>
        <v>Closed</v>
      </c>
      <c r="F12" s="67" t="str">
        <f ca="1">IFERROR(__xludf.DUMMYFUNCTION("""COMPUTED_VALUE"""),"Repositioned")</f>
        <v>Repositioned</v>
      </c>
      <c r="G12" s="69">
        <f ca="1">IFERROR(__xludf.DUMMYFUNCTION("""COMPUTED_VALUE"""),44509)</f>
        <v>44509</v>
      </c>
    </row>
    <row r="13" spans="1:7" ht="31" x14ac:dyDescent="0.35">
      <c r="A13" s="65" t="str">
        <f ca="1">IFERROR(__xludf.DUMMYFUNCTION("""COMPUTED_VALUE"""),"SB")</f>
        <v>SB</v>
      </c>
      <c r="B13" s="65" t="str">
        <f ca="1">IFERROR(__xludf.DUMMYFUNCTION("""COMPUTED_VALUE"""),"Pool 2")</f>
        <v>Pool 2</v>
      </c>
      <c r="C13" s="65" t="str">
        <f ca="1">IFERROR(__xludf.DUMMYFUNCTION("""COMPUTED_VALUE"""),"Cherokee Nation Management &amp; Consulting, LLC")</f>
        <v>Cherokee Nation Management &amp; Consulting, LLC</v>
      </c>
      <c r="D13" s="64" t="str">
        <f ca="1">IFERROR(__xludf.DUMMYFUNCTION("""COMPUTED_VALUE"""),"GS02Q17DCR0003")</f>
        <v>GS02Q17DCR0003</v>
      </c>
      <c r="E13" s="64" t="str">
        <f ca="1">IFERROR(__xludf.DUMMYFUNCTION("""COMPUTED_VALUE"""),"Dormant")</f>
        <v>Dormant</v>
      </c>
      <c r="F13" s="64" t="str">
        <f ca="1">IFERROR(__xludf.DUMMYFUNCTION("""COMPUTED_VALUE"""),"Change of Business Size")</f>
        <v>Change of Business Size</v>
      </c>
      <c r="G13" s="66">
        <f ca="1">IFERROR(__xludf.DUMMYFUNCTION("""COMPUTED_VALUE"""),44509)</f>
        <v>44509</v>
      </c>
    </row>
    <row r="14" spans="1:7" ht="15.5" x14ac:dyDescent="0.35">
      <c r="A14" s="67" t="str">
        <f ca="1">IFERROR(__xludf.DUMMYFUNCTION("""COMPUTED_VALUE"""),"SB")</f>
        <v>SB</v>
      </c>
      <c r="B14" s="68" t="str">
        <f ca="1">IFERROR(__xludf.DUMMYFUNCTION("""COMPUTED_VALUE"""),"Pool 1")</f>
        <v>Pool 1</v>
      </c>
      <c r="C14" s="68" t="str">
        <f ca="1">IFERROR(__xludf.DUMMYFUNCTION("""COMPUTED_VALUE"""),"Metis Solutions, LLC")</f>
        <v>Metis Solutions, LLC</v>
      </c>
      <c r="D14" s="67" t="str">
        <f ca="1">IFERROR(__xludf.DUMMYFUNCTION("""COMPUTED_VALUE"""),"GS02Q16DCR0077")</f>
        <v>GS02Q16DCR0077</v>
      </c>
      <c r="E14" s="67" t="str">
        <f ca="1">IFERROR(__xludf.DUMMYFUNCTION("""COMPUTED_VALUE"""),"Dormant")</f>
        <v>Dormant</v>
      </c>
      <c r="F14" s="67" t="str">
        <f ca="1">IFERROR(__xludf.DUMMYFUNCTION("""COMPUTED_VALUE"""),"Change of Business Size")</f>
        <v>Change of Business Size</v>
      </c>
      <c r="G14" s="69">
        <f ca="1">IFERROR(__xludf.DUMMYFUNCTION("""COMPUTED_VALUE"""),44509)</f>
        <v>44509</v>
      </c>
    </row>
    <row r="15" spans="1:7" ht="15.5" x14ac:dyDescent="0.35">
      <c r="A15" s="64" t="str">
        <f ca="1">IFERROR(__xludf.DUMMYFUNCTION("""COMPUTED_VALUE"""),"SB")</f>
        <v>SB</v>
      </c>
      <c r="B15" s="65" t="str">
        <f ca="1">IFERROR(__xludf.DUMMYFUNCTION("""COMPUTED_VALUE"""),"Pool 2")</f>
        <v>Pool 2</v>
      </c>
      <c r="C15" s="65" t="str">
        <f ca="1">IFERROR(__xludf.DUMMYFUNCTION("""COMPUTED_VALUE"""),"METIS Solutions, LLC")</f>
        <v>METIS Solutions, LLC</v>
      </c>
      <c r="D15" s="64" t="str">
        <f ca="1">IFERROR(__xludf.DUMMYFUNCTION("""COMPUTED_VALUE"""),"GS02Q16DCR0098")</f>
        <v>GS02Q16DCR0098</v>
      </c>
      <c r="E15" s="64" t="str">
        <f ca="1">IFERROR(__xludf.DUMMYFUNCTION("""COMPUTED_VALUE"""),"Dormant")</f>
        <v>Dormant</v>
      </c>
      <c r="F15" s="64" t="str">
        <f ca="1">IFERROR(__xludf.DUMMYFUNCTION("""COMPUTED_VALUE"""),"Change of Business Size")</f>
        <v>Change of Business Size</v>
      </c>
      <c r="G15" s="66">
        <f ca="1">IFERROR(__xludf.DUMMYFUNCTION("""COMPUTED_VALUE"""),44509)</f>
        <v>44509</v>
      </c>
    </row>
    <row r="16" spans="1:7" ht="15.5" x14ac:dyDescent="0.35">
      <c r="A16" s="67" t="str">
        <f ca="1">IFERROR(__xludf.DUMMYFUNCTION("""COMPUTED_VALUE"""),"SB")</f>
        <v>SB</v>
      </c>
      <c r="B16" s="68" t="str">
        <f ca="1">IFERROR(__xludf.DUMMYFUNCTION("""COMPUTED_VALUE"""),"Pool 2")</f>
        <v>Pool 2</v>
      </c>
      <c r="C16" s="68" t="str">
        <f ca="1">IFERROR(__xludf.DUMMYFUNCTION("""COMPUTED_VALUE"""),"Micro Systems Consultants Inc")</f>
        <v>Micro Systems Consultants Inc</v>
      </c>
      <c r="D16" s="67" t="str">
        <f ca="1">IFERROR(__xludf.DUMMYFUNCTION("""COMPUTED_VALUE"""),"GS02Q16DCR0099")</f>
        <v>GS02Q16DCR0099</v>
      </c>
      <c r="E16" s="67" t="str">
        <f ca="1">IFERROR(__xludf.DUMMYFUNCTION("""COMPUTED_VALUE"""),"Dormant")</f>
        <v>Dormant</v>
      </c>
      <c r="F16" s="67" t="str">
        <f ca="1">IFERROR(__xludf.DUMMYFUNCTION("""COMPUTED_VALUE"""),"Change of Business Size")</f>
        <v>Change of Business Size</v>
      </c>
      <c r="G16" s="69">
        <f ca="1">IFERROR(__xludf.DUMMYFUNCTION("""COMPUTED_VALUE"""),44509)</f>
        <v>44509</v>
      </c>
    </row>
    <row r="17" spans="1:7" ht="15.5" x14ac:dyDescent="0.35">
      <c r="A17" s="64" t="str">
        <f ca="1">IFERROR(__xludf.DUMMYFUNCTION("""COMPUTED_VALUE"""),"SB")</f>
        <v>SB</v>
      </c>
      <c r="B17" s="65" t="str">
        <f ca="1">IFERROR(__xludf.DUMMYFUNCTION("""COMPUTED_VALUE"""),"Pool 1")</f>
        <v>Pool 1</v>
      </c>
      <c r="C17" s="65" t="str">
        <f ca="1">IFERROR(__xludf.DUMMYFUNCTION("""COMPUTED_VALUE"""),"PowerTrain, Inc")</f>
        <v>PowerTrain, Inc</v>
      </c>
      <c r="D17" s="64" t="str">
        <f ca="1">IFERROR(__xludf.DUMMYFUNCTION("""COMPUTED_VALUE"""),"GS02Q16DCR0080")</f>
        <v>GS02Q16DCR0080</v>
      </c>
      <c r="E17" s="64" t="str">
        <f ca="1">IFERROR(__xludf.DUMMYFUNCTION("""COMPUTED_VALUE"""),"Dormant")</f>
        <v>Dormant</v>
      </c>
      <c r="F17" s="64" t="str">
        <f ca="1">IFERROR(__xludf.DUMMYFUNCTION("""COMPUTED_VALUE"""),"Change of Business Size")</f>
        <v>Change of Business Size</v>
      </c>
      <c r="G17" s="66">
        <f ca="1">IFERROR(__xludf.DUMMYFUNCTION("""COMPUTED_VALUE"""),44509)</f>
        <v>44509</v>
      </c>
    </row>
    <row r="18" spans="1:7" ht="15.5" x14ac:dyDescent="0.35">
      <c r="A18" s="67" t="str">
        <f ca="1">IFERROR(__xludf.DUMMYFUNCTION("""COMPUTED_VALUE"""),"SB")</f>
        <v>SB</v>
      </c>
      <c r="B18" s="68" t="str">
        <f ca="1">IFERROR(__xludf.DUMMYFUNCTION("""COMPUTED_VALUE"""),"Pool 2")</f>
        <v>Pool 2</v>
      </c>
      <c r="C18" s="68" t="str">
        <f ca="1">IFERROR(__xludf.DUMMYFUNCTION("""COMPUTED_VALUE"""),"PowerTrain, Inc")</f>
        <v>PowerTrain, Inc</v>
      </c>
      <c r="D18" s="67" t="str">
        <f ca="1">IFERROR(__xludf.DUMMYFUNCTION("""COMPUTED_VALUE"""),"GS02Q16DCR0103")</f>
        <v>GS02Q16DCR0103</v>
      </c>
      <c r="E18" s="67" t="str">
        <f ca="1">IFERROR(__xludf.DUMMYFUNCTION("""COMPUTED_VALUE"""),"Dormant")</f>
        <v>Dormant</v>
      </c>
      <c r="F18" s="67" t="str">
        <f ca="1">IFERROR(__xludf.DUMMYFUNCTION("""COMPUTED_VALUE"""),"Change of Business Size")</f>
        <v>Change of Business Size</v>
      </c>
      <c r="G18" s="69">
        <f ca="1">IFERROR(__xludf.DUMMYFUNCTION("""COMPUTED_VALUE"""),44509)</f>
        <v>44509</v>
      </c>
    </row>
    <row r="19" spans="1:7" ht="15.5" x14ac:dyDescent="0.35">
      <c r="A19" s="64" t="str">
        <f ca="1">IFERROR(__xludf.DUMMYFUNCTION("""COMPUTED_VALUE"""),"SB")</f>
        <v>SB</v>
      </c>
      <c r="B19" s="65" t="str">
        <f ca="1">IFERROR(__xludf.DUMMYFUNCTION("""COMPUTED_VALUE"""),"Pool 1")</f>
        <v>Pool 1</v>
      </c>
      <c r="C19" s="64" t="str">
        <f ca="1">IFERROR(__xludf.DUMMYFUNCTION("""COMPUTED_VALUE"""),"Wheelhouse Group, Inc")</f>
        <v>Wheelhouse Group, Inc</v>
      </c>
      <c r="D19" s="64" t="str">
        <f ca="1">IFERROR(__xludf.DUMMYFUNCTION("""COMPUTED_VALUE"""),"47QREB19D0024")</f>
        <v>47QREB19D0024</v>
      </c>
      <c r="E19" s="64" t="str">
        <f ca="1">IFERROR(__xludf.DUMMYFUNCTION("""COMPUTED_VALUE"""),"Terminated")</f>
        <v>Terminated</v>
      </c>
      <c r="F19" s="64" t="str">
        <f ca="1">IFERROR(__xludf.DUMMYFUNCTION("""COMPUTED_VALUE"""),"Repositioned")</f>
        <v>Repositioned</v>
      </c>
      <c r="G19" s="66">
        <f ca="1">IFERROR(__xludf.DUMMYFUNCTION("""COMPUTED_VALUE"""),44509)</f>
        <v>44509</v>
      </c>
    </row>
    <row r="20" spans="1:7" ht="15.5" x14ac:dyDescent="0.35">
      <c r="A20" s="67" t="str">
        <f ca="1">IFERROR(__xludf.DUMMYFUNCTION("""COMPUTED_VALUE"""),"SB")</f>
        <v>SB</v>
      </c>
      <c r="B20" s="68" t="str">
        <f ca="1">IFERROR(__xludf.DUMMYFUNCTION("""COMPUTED_VALUE"""),"Pool 2")</f>
        <v>Pool 2</v>
      </c>
      <c r="C20" s="67" t="str">
        <f ca="1">IFERROR(__xludf.DUMMYFUNCTION("""COMPUTED_VALUE"""),"Dynamis, Inc")</f>
        <v>Dynamis, Inc</v>
      </c>
      <c r="D20" s="67" t="str">
        <f ca="1">IFERROR(__xludf.DUMMYFUNCTION("""COMPUTED_VALUE"""),"GS02Q16DCR0088")</f>
        <v>GS02Q16DCR0088</v>
      </c>
      <c r="E20" s="67" t="str">
        <f ca="1">IFERROR(__xludf.DUMMYFUNCTION("""COMPUTED_VALUE"""),"Dormant")</f>
        <v>Dormant</v>
      </c>
      <c r="F20" s="67" t="str">
        <f ca="1">IFERROR(__xludf.DUMMYFUNCTION("""COMPUTED_VALUE"""),"Change of Business Size")</f>
        <v>Change of Business Size</v>
      </c>
      <c r="G20" s="69">
        <f ca="1">IFERROR(__xludf.DUMMYFUNCTION("""COMPUTED_VALUE"""),44532)</f>
        <v>44532</v>
      </c>
    </row>
    <row r="21" spans="1:7" ht="15.5" x14ac:dyDescent="0.35">
      <c r="A21" s="64" t="str">
        <f ca="1">IFERROR(__xludf.DUMMYFUNCTION("""COMPUTED_VALUE"""),"SB")</f>
        <v>SB</v>
      </c>
      <c r="B21" s="65" t="str">
        <f ca="1">IFERROR(__xludf.DUMMYFUNCTION("""COMPUTED_VALUE"""),"Pool 2")</f>
        <v>Pool 2</v>
      </c>
      <c r="C21" s="64" t="str">
        <f ca="1">IFERROR(__xludf.DUMMYFUNCTION("""COMPUTED_VALUE"""),"Barbaricum, LLC")</f>
        <v>Barbaricum, LLC</v>
      </c>
      <c r="D21" s="64" t="str">
        <f ca="1">IFERROR(__xludf.DUMMYFUNCTION("""COMPUTED_VALUE"""),"GS02Q17DCR0002")</f>
        <v>GS02Q17DCR0002</v>
      </c>
      <c r="E21" s="64" t="str">
        <f ca="1">IFERROR(__xludf.DUMMYFUNCTION("""COMPUTED_VALUE"""),"Closed")</f>
        <v>Closed</v>
      </c>
      <c r="F21" s="64" t="str">
        <f ca="1">IFERROR(__xludf.DUMMYFUNCTION("""COMPUTED_VALUE"""),"Repositioned")</f>
        <v>Repositioned</v>
      </c>
      <c r="G21" s="66">
        <f ca="1">IFERROR(__xludf.DUMMYFUNCTION("""COMPUTED_VALUE"""),44540)</f>
        <v>44540</v>
      </c>
    </row>
    <row r="22" spans="1:7" ht="15.5" x14ac:dyDescent="0.35">
      <c r="A22" s="67" t="str">
        <f ca="1">IFERROR(__xludf.DUMMYFUNCTION("""COMPUTED_VALUE"""),"SB")</f>
        <v>SB</v>
      </c>
      <c r="B22" s="68" t="str">
        <f ca="1">IFERROR(__xludf.DUMMYFUNCTION("""COMPUTED_VALUE"""),"Pool 2")</f>
        <v>Pool 2</v>
      </c>
      <c r="C22" s="67" t="str">
        <f ca="1">IFERROR(__xludf.DUMMYFUNCTION("""COMPUTED_VALUE"""),"Eagle Hill Consulting, LLC")</f>
        <v>Eagle Hill Consulting, LLC</v>
      </c>
      <c r="D22" s="67" t="str">
        <f ca="1">IFERROR(__xludf.DUMMYFUNCTION("""COMPUTED_VALUE"""),"GS02Q16DCR0089")</f>
        <v>GS02Q16DCR0089</v>
      </c>
      <c r="E22" s="67" t="str">
        <f ca="1">IFERROR(__xludf.DUMMYFUNCTION("""COMPUTED_VALUE"""),"Closed")</f>
        <v>Closed</v>
      </c>
      <c r="F22" s="67" t="str">
        <f ca="1">IFERROR(__xludf.DUMMYFUNCTION("""COMPUTED_VALUE"""),"Repositioned")</f>
        <v>Repositioned</v>
      </c>
      <c r="G22" s="69">
        <f ca="1">IFERROR(__xludf.DUMMYFUNCTION("""COMPUTED_VALUE"""),44540)</f>
        <v>44540</v>
      </c>
    </row>
    <row r="23" spans="1:7" ht="15.5" x14ac:dyDescent="0.35">
      <c r="A23" s="64" t="str">
        <f ca="1">IFERROR(__xludf.DUMMYFUNCTION("""COMPUTED_VALUE"""),"SB")</f>
        <v>SB</v>
      </c>
      <c r="B23" s="65" t="str">
        <f ca="1">IFERROR(__xludf.DUMMYFUNCTION("""COMPUTED_VALUE"""),"Pool 1")</f>
        <v>Pool 1</v>
      </c>
      <c r="C23" s="64" t="str">
        <f ca="1">IFERROR(__xludf.DUMMYFUNCTION("""COMPUTED_VALUE"""),"Evolution Management, Inc")</f>
        <v>Evolution Management, Inc</v>
      </c>
      <c r="D23" s="64" t="str">
        <f ca="1">IFERROR(__xludf.DUMMYFUNCTION("""COMPUTED_VALUE"""),"47QREB19D0027")</f>
        <v>47QREB19D0027</v>
      </c>
      <c r="E23" s="64" t="str">
        <f ca="1">IFERROR(__xludf.DUMMYFUNCTION("""COMPUTED_VALUE"""),"Closed")</f>
        <v>Closed</v>
      </c>
      <c r="F23" s="64" t="str">
        <f ca="1">IFERROR(__xludf.DUMMYFUNCTION("""COMPUTED_VALUE"""),"Repositioned")</f>
        <v>Repositioned</v>
      </c>
      <c r="G23" s="66">
        <f ca="1">IFERROR(__xludf.DUMMYFUNCTION("""COMPUTED_VALUE"""),44540)</f>
        <v>44540</v>
      </c>
    </row>
    <row r="24" spans="1:7" ht="15.5" x14ac:dyDescent="0.35">
      <c r="A24" s="67" t="str">
        <f ca="1">IFERROR(__xludf.DUMMYFUNCTION("""COMPUTED_VALUE"""),"SB")</f>
        <v>SB</v>
      </c>
      <c r="B24" s="68" t="str">
        <f ca="1">IFERROR(__xludf.DUMMYFUNCTION("""COMPUTED_VALUE"""),"Pool 1")</f>
        <v>Pool 1</v>
      </c>
      <c r="C24" s="67" t="str">
        <f ca="1">IFERROR(__xludf.DUMMYFUNCTION("""COMPUTED_VALUE"""),"JRogers Consulting, LLC")</f>
        <v>JRogers Consulting, LLC</v>
      </c>
      <c r="D24" s="67" t="str">
        <f ca="1">IFERROR(__xludf.DUMMYFUNCTION("""COMPUTED_VALUE"""),"47QREB19D0004")</f>
        <v>47QREB19D0004</v>
      </c>
      <c r="E24" s="67" t="str">
        <f ca="1">IFERROR(__xludf.DUMMYFUNCTION("""COMPUTED_VALUE"""),"Terminated")</f>
        <v>Terminated</v>
      </c>
      <c r="F24" s="67" t="str">
        <f ca="1">IFERROR(__xludf.DUMMYFUNCTION("""COMPUTED_VALUE"""),"Repositioned")</f>
        <v>Repositioned</v>
      </c>
      <c r="G24" s="69">
        <f ca="1">IFERROR(__xludf.DUMMYFUNCTION("""COMPUTED_VALUE"""),44543)</f>
        <v>44543</v>
      </c>
    </row>
    <row r="25" spans="1:7" ht="15.5" x14ac:dyDescent="0.35">
      <c r="A25" s="64" t="str">
        <f ca="1">IFERROR(__xludf.DUMMYFUNCTION("""COMPUTED_VALUE"""),"SB")</f>
        <v>SB</v>
      </c>
      <c r="B25" s="65" t="str">
        <f ca="1">IFERROR(__xludf.DUMMYFUNCTION("""COMPUTED_VALUE"""),"Pool 2")</f>
        <v>Pool 2</v>
      </c>
      <c r="C25" s="64" t="str">
        <f ca="1">IFERROR(__xludf.DUMMYFUNCTION("""COMPUTED_VALUE"""),"DSFederal, Inc")</f>
        <v>DSFederal, Inc</v>
      </c>
      <c r="D25" s="64" t="str">
        <f ca="1">IFERROR(__xludf.DUMMYFUNCTION("""COMPUTED_VALUE"""),"GS02Q16DCR0086")</f>
        <v>GS02Q16DCR0086</v>
      </c>
      <c r="E25" s="64" t="str">
        <f ca="1">IFERROR(__xludf.DUMMYFUNCTION("""COMPUTED_VALUE"""),"Closed")</f>
        <v>Closed</v>
      </c>
      <c r="F25" s="64" t="str">
        <f ca="1">IFERROR(__xludf.DUMMYFUNCTION("""COMPUTED_VALUE"""),"Repositioned")</f>
        <v>Repositioned</v>
      </c>
      <c r="G25" s="66">
        <f ca="1">IFERROR(__xludf.DUMMYFUNCTION("""COMPUTED_VALUE"""),44544)</f>
        <v>44544</v>
      </c>
    </row>
    <row r="26" spans="1:7" ht="15.5" x14ac:dyDescent="0.35">
      <c r="A26" s="68" t="str">
        <f ca="1">IFERROR(__xludf.DUMMYFUNCTION("""COMPUTED_VALUE"""),"SB")</f>
        <v>SB</v>
      </c>
      <c r="B26" s="68" t="str">
        <f ca="1">IFERROR(__xludf.DUMMYFUNCTION("""COMPUTED_VALUE"""),"Pool 2")</f>
        <v>Pool 2</v>
      </c>
      <c r="C26" s="68" t="str">
        <f ca="1">IFERROR(__xludf.DUMMYFUNCTION("""COMPUTED_VALUE"""),"Fors Marsh Group, LLC")</f>
        <v>Fors Marsh Group, LLC</v>
      </c>
      <c r="D26" s="67" t="str">
        <f ca="1">IFERROR(__xludf.DUMMYFUNCTION("""COMPUTED_VALUE"""),"GS02Q17DCR0004")</f>
        <v>GS02Q17DCR0004</v>
      </c>
      <c r="E26" s="67" t="str">
        <f ca="1">IFERROR(__xludf.DUMMYFUNCTION("""COMPUTED_VALUE"""),"Terminated")</f>
        <v>Terminated</v>
      </c>
      <c r="F26" s="67" t="str">
        <f ca="1">IFERROR(__xludf.DUMMYFUNCTION("""COMPUTED_VALUE"""),"Repositioned")</f>
        <v>Repositioned</v>
      </c>
      <c r="G26" s="69">
        <f ca="1">IFERROR(__xludf.DUMMYFUNCTION("""COMPUTED_VALUE"""),44698)</f>
        <v>44698</v>
      </c>
    </row>
    <row r="27" spans="1:7" ht="14.25" customHeight="1" x14ac:dyDescent="0.35">
      <c r="A27" s="64" t="str">
        <f ca="1">IFERROR(__xludf.DUMMYFUNCTION("""COMPUTED_VALUE"""),"U")</f>
        <v>U</v>
      </c>
      <c r="B27" s="65" t="str">
        <f ca="1">IFERROR(__xludf.DUMMYFUNCTION("""COMPUTED_VALUE"""),"Pool 2")</f>
        <v>Pool 2</v>
      </c>
      <c r="C27" s="64" t="str">
        <f ca="1">IFERROR(__xludf.DUMMYFUNCTION("""COMPUTED_VALUE"""),"KeyBridge Technologies, Inc")</f>
        <v>KeyBridge Technologies, Inc</v>
      </c>
      <c r="D27" s="64" t="str">
        <f ca="1">IFERROR(__xludf.DUMMYFUNCTION("""COMPUTED_VALUE"""),"GS02Q16DCR0054")</f>
        <v>GS02Q16DCR0054</v>
      </c>
      <c r="E27" s="64" t="str">
        <f ca="1">IFERROR(__xludf.DUMMYFUNCTION("""COMPUTED_VALUE"""),"Closed")</f>
        <v>Closed</v>
      </c>
      <c r="F27" s="64" t="str">
        <f ca="1">IFERROR(__xludf.DUMMYFUNCTION("""COMPUTED_VALUE"""),"Repositioned")</f>
        <v>Repositioned</v>
      </c>
      <c r="G27" s="66">
        <f ca="1">IFERROR(__xludf.DUMMYFUNCTION("""COMPUTED_VALUE"""),44987)</f>
        <v>44987</v>
      </c>
    </row>
    <row r="28" spans="1:7" ht="14.25" customHeight="1" x14ac:dyDescent="0.35">
      <c r="A28" s="67" t="str">
        <f ca="1">IFERROR(__xludf.DUMMYFUNCTION("""COMPUTED_VALUE"""),"SB")</f>
        <v>SB</v>
      </c>
      <c r="B28" s="67" t="str">
        <f ca="1">IFERROR(__xludf.DUMMYFUNCTION("""COMPUTED_VALUE"""),"Pool 2")</f>
        <v>Pool 2</v>
      </c>
      <c r="C28" s="67" t="str">
        <f ca="1">IFERROR(__xludf.DUMMYFUNCTION("""COMPUTED_VALUE"""),"Evolution Management, Inc")</f>
        <v>Evolution Management, Inc</v>
      </c>
      <c r="D28" s="67" t="str">
        <f ca="1">IFERROR(__xludf.DUMMYFUNCTION("""COMPUTED_VALUE"""),"47QREB22D0004")</f>
        <v>47QREB22D0004</v>
      </c>
      <c r="E28" s="67" t="str">
        <f ca="1">IFERROR(__xludf.DUMMYFUNCTION("""COMPUTED_VALUE"""),"Terminated")</f>
        <v>Terminated</v>
      </c>
      <c r="F28" s="67" t="str">
        <f ca="1">IFERROR(__xludf.DUMMYFUNCTION("""COMPUTED_VALUE"""),"Other Reasons")</f>
        <v>Other Reasons</v>
      </c>
      <c r="G28" s="70">
        <f ca="1">IFERROR(__xludf.DUMMYFUNCTION("""COMPUTED_VALUE"""),45243)</f>
        <v>45243</v>
      </c>
    </row>
    <row r="29" spans="1:7" ht="14.25" customHeight="1" x14ac:dyDescent="0.35">
      <c r="A29" s="64" t="str">
        <f ca="1">IFERROR(__xludf.DUMMYFUNCTION("""COMPUTED_VALUE"""),"8A")</f>
        <v>8A</v>
      </c>
      <c r="B29" s="64" t="str">
        <f ca="1">IFERROR(__xludf.DUMMYFUNCTION("""COMPUTED_VALUE"""),"Pool 2")</f>
        <v>Pool 2</v>
      </c>
      <c r="C29" s="64" t="str">
        <f ca="1">IFERROR(__xludf.DUMMYFUNCTION("""COMPUTED_VALUE"""),"Evolution Management, Inc")</f>
        <v>Evolution Management, Inc</v>
      </c>
      <c r="D29" s="64" t="str">
        <f ca="1">IFERROR(__xludf.DUMMYFUNCTION("""COMPUTED_VALUE"""),"47QREB21D0006")</f>
        <v>47QREB21D0006</v>
      </c>
      <c r="E29" s="64" t="str">
        <f ca="1">IFERROR(__xludf.DUMMYFUNCTION("""COMPUTED_VALUE"""),"Terminated")</f>
        <v>Terminated</v>
      </c>
      <c r="F29" s="64" t="str">
        <f ca="1">IFERROR(__xludf.DUMMYFUNCTION("""COMPUTED_VALUE"""),"Other Reasons")</f>
        <v>Other Reasons</v>
      </c>
      <c r="G29" s="71">
        <f ca="1">IFERROR(__xludf.DUMMYFUNCTION("""COMPUTED_VALUE"""),45296)</f>
        <v>45296</v>
      </c>
    </row>
    <row r="30" spans="1:7" ht="14.25" customHeight="1" x14ac:dyDescent="0.35">
      <c r="A30" s="67" t="str">
        <f ca="1">IFERROR(__xludf.DUMMYFUNCTION("""COMPUTED_VALUE"""),"SB")</f>
        <v>SB</v>
      </c>
      <c r="B30" s="67" t="str">
        <f ca="1">IFERROR(__xludf.DUMMYFUNCTION("""COMPUTED_VALUE"""),"Pool 2")</f>
        <v>Pool 2</v>
      </c>
      <c r="C30" s="67" t="str">
        <f ca="1">IFERROR(__xludf.DUMMYFUNCTION("""COMPUTED_VALUE"""),"Wheelhouse Group, Inc")</f>
        <v>Wheelhouse Group, Inc</v>
      </c>
      <c r="D30" s="67" t="str">
        <f ca="1">IFERROR(__xludf.DUMMYFUNCTION("""COMPUTED_VALUE"""),"47QREB22D0003")</f>
        <v>47QREB22D0003</v>
      </c>
      <c r="E30" s="67" t="str">
        <f ca="1">IFERROR(__xludf.DUMMYFUNCTION("""COMPUTED_VALUE"""),"Dormant")</f>
        <v>Dormant</v>
      </c>
      <c r="F30" s="67" t="str">
        <f ca="1">IFERROR(__xludf.DUMMYFUNCTION("""COMPUTED_VALUE"""),"Repositioned")</f>
        <v>Repositioned</v>
      </c>
      <c r="G30" s="69">
        <f ca="1">IFERROR(__xludf.DUMMYFUNCTION("""COMPUTED_VALUE"""),45432)</f>
        <v>45432</v>
      </c>
    </row>
    <row r="31" spans="1:7" ht="15.5" x14ac:dyDescent="0.35">
      <c r="A31" s="64" t="str">
        <f ca="1">IFERROR(__xludf.DUMMYFUNCTION("""COMPUTED_VALUE"""),"U")</f>
        <v>U</v>
      </c>
      <c r="B31" s="64" t="str">
        <f ca="1">IFERROR(__xludf.DUMMYFUNCTION("""COMPUTED_VALUE"""),"Pool 1")</f>
        <v>Pool 1</v>
      </c>
      <c r="C31" s="64" t="str">
        <f ca="1">IFERROR(__xludf.DUMMYFUNCTION("""COMPUTED_VALUE"""),"SRA International, Inc")</f>
        <v>SRA International, Inc</v>
      </c>
      <c r="D31" s="64" t="str">
        <f ca="1">IFERROR(__xludf.DUMMYFUNCTION("""COMPUTED_VALUE"""),"GS02Q16DCR0031")</f>
        <v>GS02Q16DCR0031</v>
      </c>
      <c r="E31" s="64" t="str">
        <f ca="1">IFERROR(__xludf.DUMMYFUNCTION("""COMPUTED_VALUE"""),"Terminated")</f>
        <v>Terminated</v>
      </c>
      <c r="F31" s="64"/>
      <c r="G31" s="64"/>
    </row>
    <row r="32" spans="1:7" ht="15.5" x14ac:dyDescent="0.35">
      <c r="A32" s="67" t="str">
        <f ca="1">IFERROR(__xludf.DUMMYFUNCTION("""COMPUTED_VALUE"""),"U")</f>
        <v>U</v>
      </c>
      <c r="B32" s="67" t="str">
        <f ca="1">IFERROR(__xludf.DUMMYFUNCTION("""COMPUTED_VALUE"""),"Pool 2")</f>
        <v>Pool 2</v>
      </c>
      <c r="C32" s="67" t="str">
        <f ca="1">IFERROR(__xludf.DUMMYFUNCTION("""COMPUTED_VALUE"""),"SRA International, Inc")</f>
        <v>SRA International, Inc</v>
      </c>
      <c r="D32" s="67" t="str">
        <f ca="1">IFERROR(__xludf.DUMMYFUNCTION("""COMPUTED_VALUE"""),"GS02Q16DCR0068")</f>
        <v>GS02Q16DCR0068</v>
      </c>
      <c r="E32" s="67" t="str">
        <f ca="1">IFERROR(__xludf.DUMMYFUNCTION("""COMPUTED_VALUE"""),"Terminated")</f>
        <v>Terminated</v>
      </c>
      <c r="F32" s="67"/>
      <c r="G32" s="67"/>
    </row>
    <row r="33" spans="1:7" ht="15.5" x14ac:dyDescent="0.35">
      <c r="A33" s="64" t="str">
        <f ca="1">IFERROR(__xludf.DUMMYFUNCTION("""COMPUTED_VALUE"""),"U")</f>
        <v>U</v>
      </c>
      <c r="B33" s="64" t="str">
        <f ca="1">IFERROR(__xludf.DUMMYFUNCTION("""COMPUTED_VALUE"""),"Pool 2")</f>
        <v>Pool 2</v>
      </c>
      <c r="C33" s="64" t="str">
        <f ca="1">IFERROR(__xludf.DUMMYFUNCTION("""COMPUTED_VALUE"""),"The North Highland Company, LLC")</f>
        <v>The North Highland Company, LLC</v>
      </c>
      <c r="D33" s="64" t="str">
        <f ca="1">IFERROR(__xludf.DUMMYFUNCTION("""COMPUTED_VALUE"""),"GS02Q16DCR0071")</f>
        <v>GS02Q16DCR0071</v>
      </c>
      <c r="E33" s="64" t="str">
        <f ca="1">IFERROR(__xludf.DUMMYFUNCTION("""COMPUTED_VALUE"""),"Dormant")</f>
        <v>Dormant</v>
      </c>
      <c r="F33" s="64" t="str">
        <f ca="1">IFERROR(__xludf.DUMMYFUNCTION("""COMPUTED_VALUE"""),"Other Reasons")</f>
        <v>Other Reasons</v>
      </c>
      <c r="G33" s="66">
        <f ca="1">IFERROR(__xludf.DUMMYFUNCTION("""COMPUTED_VALUE"""),45569)</f>
        <v>45569</v>
      </c>
    </row>
    <row r="34" spans="1:7" ht="31" x14ac:dyDescent="0.35">
      <c r="A34" s="67" t="str">
        <f ca="1">IFERROR(__xludf.DUMMYFUNCTION("""COMPUTED_VALUE"""),"U")</f>
        <v>U</v>
      </c>
      <c r="B34" s="67" t="str">
        <f ca="1">IFERROR(__xludf.DUMMYFUNCTION("""COMPUTED_VALUE"""),"Pool 2")</f>
        <v>Pool 2</v>
      </c>
      <c r="C34" s="67" t="str">
        <f ca="1">IFERROR(__xludf.DUMMYFUNCTION("""COMPUTED_VALUE"""),"Cherokee Nation Technology Solutions, LLC")</f>
        <v>Cherokee Nation Technology Solutions, LLC</v>
      </c>
      <c r="D34" s="67" t="str">
        <f ca="1">IFERROR(__xludf.DUMMYFUNCTION("""COMPUTED_VALUE"""),"GS02Q16DCR0112")</f>
        <v>GS02Q16DCR0112</v>
      </c>
      <c r="E34" s="67" t="str">
        <f ca="1">IFERROR(__xludf.DUMMYFUNCTION("""COMPUTED_VALUE"""),"Dormant")</f>
        <v>Dormant</v>
      </c>
      <c r="F34" s="67" t="str">
        <f ca="1">IFERROR(__xludf.DUMMYFUNCTION("""COMPUTED_VALUE"""),"Other Reasons")</f>
        <v>Other Reasons</v>
      </c>
      <c r="G34" s="69">
        <f ca="1">IFERROR(__xludf.DUMMYFUNCTION("""COMPUTED_VALUE"""),45573)</f>
        <v>45573</v>
      </c>
    </row>
    <row r="35" spans="1:7" ht="15.5" x14ac:dyDescent="0.35">
      <c r="A35" s="64"/>
      <c r="B35" s="64"/>
      <c r="C35" s="64"/>
      <c r="D35" s="64"/>
      <c r="E35" s="64"/>
      <c r="F35" s="64"/>
      <c r="G35" s="64"/>
    </row>
    <row r="36" spans="1:7" ht="15.5" x14ac:dyDescent="0.35">
      <c r="A36" s="67"/>
      <c r="B36" s="67"/>
      <c r="C36" s="67"/>
      <c r="D36" s="67"/>
      <c r="E36" s="67"/>
      <c r="F36" s="67"/>
      <c r="G36" s="67"/>
    </row>
    <row r="37" spans="1:7" ht="15.5" x14ac:dyDescent="0.35">
      <c r="A37" s="64"/>
      <c r="B37" s="64"/>
      <c r="C37" s="64"/>
      <c r="D37" s="64"/>
      <c r="E37" s="64"/>
      <c r="F37" s="64"/>
      <c r="G37" s="64"/>
    </row>
    <row r="38" spans="1:7" ht="15.5" x14ac:dyDescent="0.35">
      <c r="A38" s="67"/>
      <c r="B38" s="67"/>
      <c r="C38" s="67"/>
      <c r="D38" s="67"/>
      <c r="E38" s="67"/>
      <c r="F38" s="67"/>
      <c r="G38" s="67"/>
    </row>
    <row r="39" spans="1:7" ht="15.5" x14ac:dyDescent="0.35">
      <c r="A39" s="64"/>
      <c r="B39" s="64"/>
      <c r="C39" s="64"/>
      <c r="D39" s="64"/>
      <c r="E39" s="64"/>
      <c r="F39" s="64"/>
      <c r="G39" s="64"/>
    </row>
    <row r="40" spans="1:7" ht="15.5" x14ac:dyDescent="0.35">
      <c r="A40" s="67"/>
      <c r="B40" s="67"/>
      <c r="C40" s="67"/>
      <c r="D40" s="67"/>
      <c r="E40" s="67"/>
      <c r="F40" s="67"/>
      <c r="G40" s="67"/>
    </row>
    <row r="41" spans="1:7" ht="15.5" x14ac:dyDescent="0.35">
      <c r="A41" s="64"/>
      <c r="B41" s="64"/>
      <c r="C41" s="64"/>
      <c r="D41" s="64"/>
      <c r="E41" s="64"/>
      <c r="F41" s="64"/>
      <c r="G41" s="64"/>
    </row>
    <row r="42" spans="1:7" ht="15.5" x14ac:dyDescent="0.35">
      <c r="A42" s="67"/>
      <c r="B42" s="67"/>
      <c r="C42" s="67"/>
      <c r="D42" s="67"/>
      <c r="E42" s="67"/>
      <c r="F42" s="67"/>
      <c r="G42" s="67"/>
    </row>
    <row r="43" spans="1:7" ht="15.5" x14ac:dyDescent="0.35">
      <c r="A43" s="64"/>
      <c r="B43" s="64"/>
      <c r="C43" s="64"/>
      <c r="D43" s="64"/>
      <c r="E43" s="64"/>
      <c r="F43" s="64"/>
      <c r="G43" s="64"/>
    </row>
    <row r="44" spans="1:7" ht="15.5" x14ac:dyDescent="0.35">
      <c r="A44" s="67"/>
      <c r="B44" s="67"/>
      <c r="C44" s="67"/>
      <c r="D44" s="67"/>
      <c r="E44" s="67"/>
      <c r="F44" s="67"/>
      <c r="G44" s="67"/>
    </row>
    <row r="45" spans="1:7" ht="15.5" x14ac:dyDescent="0.35">
      <c r="A45" s="64"/>
      <c r="B45" s="64"/>
      <c r="C45" s="64"/>
      <c r="D45" s="64"/>
      <c r="E45" s="64"/>
      <c r="F45" s="64"/>
      <c r="G45" s="64"/>
    </row>
    <row r="46" spans="1:7" ht="15.5" x14ac:dyDescent="0.35">
      <c r="A46" s="67"/>
      <c r="B46" s="67"/>
      <c r="C46" s="67"/>
      <c r="D46" s="67"/>
      <c r="E46" s="67"/>
      <c r="F46" s="67"/>
      <c r="G46" s="67"/>
    </row>
    <row r="47" spans="1:7" ht="15.5" x14ac:dyDescent="0.35">
      <c r="A47" s="64"/>
      <c r="B47" s="64"/>
      <c r="C47" s="64"/>
      <c r="D47" s="64"/>
      <c r="E47" s="64"/>
      <c r="F47" s="64"/>
      <c r="G47" s="64"/>
    </row>
    <row r="48" spans="1:7" ht="15.5" x14ac:dyDescent="0.35">
      <c r="A48" s="67"/>
      <c r="B48" s="67"/>
      <c r="C48" s="67"/>
      <c r="D48" s="67"/>
      <c r="E48" s="67"/>
      <c r="F48" s="67"/>
      <c r="G48" s="67"/>
    </row>
    <row r="49" spans="1:7" ht="15.5" x14ac:dyDescent="0.35">
      <c r="A49" s="64"/>
      <c r="B49" s="64"/>
      <c r="C49" s="64"/>
      <c r="D49" s="64"/>
      <c r="E49" s="64"/>
      <c r="F49" s="64"/>
      <c r="G49" s="64"/>
    </row>
    <row r="50" spans="1:7" ht="15.5" x14ac:dyDescent="0.35">
      <c r="A50" s="67"/>
      <c r="B50" s="67"/>
      <c r="C50" s="67"/>
      <c r="D50" s="67"/>
      <c r="E50" s="67"/>
      <c r="F50" s="67"/>
      <c r="G50" s="67"/>
    </row>
    <row r="51" spans="1:7" ht="15.5" x14ac:dyDescent="0.35">
      <c r="A51" s="64"/>
      <c r="B51" s="64"/>
      <c r="C51" s="64"/>
      <c r="D51" s="64"/>
      <c r="E51" s="64"/>
      <c r="F51" s="64"/>
      <c r="G51" s="64"/>
    </row>
    <row r="52" spans="1:7" ht="15.5" x14ac:dyDescent="0.35">
      <c r="A52" s="67"/>
      <c r="B52" s="67"/>
      <c r="C52" s="67"/>
      <c r="D52" s="67"/>
      <c r="E52" s="67"/>
      <c r="F52" s="67"/>
      <c r="G52" s="67"/>
    </row>
    <row r="53" spans="1:7" ht="15.5" x14ac:dyDescent="0.35">
      <c r="A53" s="64"/>
      <c r="B53" s="64"/>
      <c r="C53" s="64"/>
      <c r="D53" s="64"/>
      <c r="E53" s="64"/>
      <c r="F53" s="64"/>
      <c r="G53" s="64"/>
    </row>
    <row r="54" spans="1:7" ht="15.5" x14ac:dyDescent="0.35">
      <c r="A54" s="67"/>
      <c r="B54" s="67"/>
      <c r="C54" s="67"/>
      <c r="D54" s="67"/>
      <c r="E54" s="67"/>
      <c r="F54" s="67"/>
      <c r="G54" s="67"/>
    </row>
    <row r="55" spans="1:7" ht="15.5" x14ac:dyDescent="0.35">
      <c r="A55" s="64"/>
      <c r="B55" s="64"/>
      <c r="C55" s="64"/>
      <c r="D55" s="64"/>
      <c r="E55" s="64"/>
      <c r="F55" s="64"/>
      <c r="G55" s="64"/>
    </row>
    <row r="56" spans="1:7" ht="15.5" x14ac:dyDescent="0.35">
      <c r="A56" s="67"/>
      <c r="B56" s="67"/>
      <c r="C56" s="67"/>
      <c r="D56" s="67"/>
      <c r="E56" s="67"/>
      <c r="F56" s="67"/>
      <c r="G56" s="67"/>
    </row>
    <row r="57" spans="1:7" ht="15.5" x14ac:dyDescent="0.35">
      <c r="A57" s="64"/>
      <c r="B57" s="64"/>
      <c r="C57" s="64"/>
      <c r="D57" s="64"/>
      <c r="E57" s="64"/>
      <c r="F57" s="64"/>
      <c r="G57" s="64"/>
    </row>
    <row r="58" spans="1:7" ht="15.5" x14ac:dyDescent="0.35">
      <c r="A58" s="67"/>
      <c r="B58" s="67"/>
      <c r="C58" s="67"/>
      <c r="D58" s="67"/>
      <c r="E58" s="67"/>
      <c r="F58" s="67"/>
      <c r="G58" s="67"/>
    </row>
    <row r="59" spans="1:7" ht="15.5" x14ac:dyDescent="0.35">
      <c r="A59" s="64"/>
      <c r="B59" s="64"/>
      <c r="C59" s="64"/>
      <c r="D59" s="64"/>
      <c r="E59" s="64"/>
      <c r="F59" s="64"/>
      <c r="G59" s="64"/>
    </row>
    <row r="60" spans="1:7" ht="15.5" x14ac:dyDescent="0.35">
      <c r="A60" s="67"/>
      <c r="B60" s="67"/>
      <c r="C60" s="67"/>
      <c r="D60" s="67"/>
      <c r="E60" s="67"/>
      <c r="F60" s="67"/>
      <c r="G60" s="67"/>
    </row>
    <row r="61" spans="1:7" ht="15.5" x14ac:dyDescent="0.35">
      <c r="A61" s="64"/>
      <c r="B61" s="64"/>
      <c r="C61" s="64"/>
      <c r="D61" s="64"/>
      <c r="E61" s="64"/>
      <c r="F61" s="64"/>
      <c r="G61" s="64"/>
    </row>
    <row r="62" spans="1:7" ht="15.5" x14ac:dyDescent="0.35">
      <c r="A62" s="67"/>
      <c r="B62" s="67"/>
      <c r="C62" s="67"/>
      <c r="D62" s="67"/>
      <c r="E62" s="67"/>
      <c r="F62" s="67"/>
      <c r="G62" s="67"/>
    </row>
    <row r="63" spans="1:7" ht="15.5" x14ac:dyDescent="0.35">
      <c r="A63" s="64"/>
      <c r="B63" s="64"/>
      <c r="C63" s="64"/>
      <c r="D63" s="64"/>
      <c r="E63" s="64"/>
      <c r="F63" s="64"/>
      <c r="G63" s="64"/>
    </row>
    <row r="64" spans="1:7" ht="15.5" x14ac:dyDescent="0.35">
      <c r="A64" s="67"/>
      <c r="B64" s="67"/>
      <c r="C64" s="67"/>
      <c r="D64" s="67"/>
      <c r="E64" s="67"/>
      <c r="F64" s="67"/>
      <c r="G64" s="67"/>
    </row>
    <row r="65" spans="1:7" ht="15.5" x14ac:dyDescent="0.35">
      <c r="A65" s="64"/>
      <c r="B65" s="64"/>
      <c r="C65" s="64"/>
      <c r="D65" s="64"/>
      <c r="E65" s="64"/>
      <c r="F65" s="64"/>
      <c r="G65" s="64"/>
    </row>
    <row r="66" spans="1:7" ht="15.5" x14ac:dyDescent="0.35">
      <c r="A66" s="67"/>
      <c r="B66" s="67"/>
      <c r="C66" s="67"/>
      <c r="D66" s="67"/>
      <c r="E66" s="67"/>
      <c r="F66" s="67"/>
      <c r="G66" s="67"/>
    </row>
    <row r="67" spans="1:7" ht="15.5" x14ac:dyDescent="0.35">
      <c r="A67" s="64"/>
      <c r="B67" s="64"/>
      <c r="C67" s="64"/>
      <c r="D67" s="64"/>
      <c r="E67" s="64"/>
      <c r="F67" s="64"/>
      <c r="G67" s="64"/>
    </row>
    <row r="68" spans="1:7" ht="15.5" x14ac:dyDescent="0.35">
      <c r="A68" s="67"/>
      <c r="B68" s="67"/>
      <c r="C68" s="67"/>
      <c r="D68" s="67"/>
      <c r="E68" s="67"/>
      <c r="F68" s="67"/>
      <c r="G68" s="67"/>
    </row>
    <row r="69" spans="1:7" ht="15.5" x14ac:dyDescent="0.35">
      <c r="A69" s="64"/>
      <c r="B69" s="64"/>
      <c r="C69" s="64"/>
      <c r="D69" s="64"/>
      <c r="E69" s="64"/>
      <c r="F69" s="64"/>
      <c r="G69" s="64"/>
    </row>
    <row r="70" spans="1:7" ht="15.5" x14ac:dyDescent="0.35">
      <c r="A70" s="67"/>
      <c r="B70" s="67"/>
      <c r="C70" s="67"/>
      <c r="D70" s="67"/>
      <c r="E70" s="67"/>
      <c r="F70" s="67"/>
      <c r="G70" s="67"/>
    </row>
    <row r="71" spans="1:7" ht="15.5" x14ac:dyDescent="0.35">
      <c r="A71" s="64"/>
      <c r="B71" s="64"/>
      <c r="C71" s="64"/>
      <c r="D71" s="64"/>
      <c r="E71" s="64"/>
      <c r="F71" s="64"/>
      <c r="G71" s="64"/>
    </row>
    <row r="72" spans="1:7" ht="15.5" x14ac:dyDescent="0.35">
      <c r="A72" s="67"/>
      <c r="B72" s="67"/>
      <c r="C72" s="67"/>
      <c r="D72" s="67"/>
      <c r="E72" s="67"/>
      <c r="F72" s="67"/>
      <c r="G72" s="67"/>
    </row>
    <row r="73" spans="1:7" ht="15.5" x14ac:dyDescent="0.35">
      <c r="A73" s="64"/>
      <c r="B73" s="64"/>
      <c r="C73" s="64"/>
      <c r="D73" s="64"/>
      <c r="E73" s="64"/>
      <c r="F73" s="64"/>
      <c r="G73" s="64"/>
    </row>
    <row r="74" spans="1:7" ht="15.5" x14ac:dyDescent="0.35">
      <c r="A74" s="67"/>
      <c r="B74" s="67"/>
      <c r="C74" s="67"/>
      <c r="D74" s="67"/>
      <c r="E74" s="67"/>
      <c r="F74" s="67"/>
      <c r="G74" s="67"/>
    </row>
    <row r="75" spans="1:7" ht="15.5" x14ac:dyDescent="0.35">
      <c r="A75" s="64"/>
      <c r="B75" s="64"/>
      <c r="C75" s="64"/>
      <c r="D75" s="64"/>
      <c r="E75" s="64"/>
      <c r="F75" s="64"/>
      <c r="G75" s="64"/>
    </row>
    <row r="76" spans="1:7" ht="15.5" x14ac:dyDescent="0.35">
      <c r="A76" s="67"/>
      <c r="B76" s="67"/>
      <c r="C76" s="67"/>
      <c r="D76" s="67"/>
      <c r="E76" s="67"/>
      <c r="F76" s="67"/>
      <c r="G76" s="67"/>
    </row>
    <row r="77" spans="1:7" ht="15.5" x14ac:dyDescent="0.35">
      <c r="A77" s="64"/>
      <c r="B77" s="64"/>
      <c r="C77" s="64"/>
      <c r="D77" s="64"/>
      <c r="E77" s="64"/>
      <c r="F77" s="64"/>
      <c r="G77" s="64"/>
    </row>
    <row r="78" spans="1:7" ht="15.5" x14ac:dyDescent="0.35">
      <c r="A78" s="67"/>
      <c r="B78" s="67"/>
      <c r="C78" s="67"/>
      <c r="D78" s="67"/>
      <c r="E78" s="67"/>
      <c r="F78" s="67"/>
      <c r="G78" s="67"/>
    </row>
    <row r="79" spans="1:7" ht="15.5" x14ac:dyDescent="0.35">
      <c r="A79" s="64"/>
      <c r="B79" s="64"/>
      <c r="C79" s="64"/>
      <c r="D79" s="64"/>
      <c r="E79" s="64"/>
      <c r="F79" s="64"/>
      <c r="G79" s="64"/>
    </row>
    <row r="80" spans="1:7" ht="15.5" x14ac:dyDescent="0.35">
      <c r="A80" s="67"/>
      <c r="B80" s="67"/>
      <c r="C80" s="67"/>
      <c r="D80" s="67"/>
      <c r="E80" s="67"/>
      <c r="F80" s="67"/>
      <c r="G80" s="67"/>
    </row>
    <row r="81" spans="1:7" ht="15.5" x14ac:dyDescent="0.35">
      <c r="A81" s="64"/>
      <c r="B81" s="64"/>
      <c r="C81" s="64"/>
      <c r="D81" s="64"/>
      <c r="E81" s="64"/>
      <c r="F81" s="64"/>
      <c r="G81" s="64"/>
    </row>
    <row r="82" spans="1:7" ht="15.5" x14ac:dyDescent="0.35">
      <c r="A82" s="67"/>
      <c r="B82" s="67"/>
      <c r="C82" s="67"/>
      <c r="D82" s="67"/>
      <c r="E82" s="67"/>
      <c r="F82" s="67"/>
      <c r="G82" s="67"/>
    </row>
    <row r="83" spans="1:7" ht="15.5" x14ac:dyDescent="0.35">
      <c r="A83" s="64"/>
      <c r="B83" s="64"/>
      <c r="C83" s="64"/>
      <c r="D83" s="64"/>
      <c r="E83" s="64"/>
      <c r="F83" s="64"/>
      <c r="G83" s="64"/>
    </row>
    <row r="84" spans="1:7" ht="15.5" x14ac:dyDescent="0.35">
      <c r="A84" s="67"/>
      <c r="B84" s="67"/>
      <c r="C84" s="67"/>
      <c r="D84" s="67"/>
      <c r="E84" s="67"/>
      <c r="F84" s="67"/>
      <c r="G84" s="67"/>
    </row>
    <row r="85" spans="1:7" ht="15.5" x14ac:dyDescent="0.35">
      <c r="A85" s="64"/>
      <c r="B85" s="64"/>
      <c r="C85" s="64"/>
      <c r="D85" s="64"/>
      <c r="E85" s="64"/>
      <c r="F85" s="64"/>
      <c r="G85" s="64"/>
    </row>
    <row r="86" spans="1:7" ht="15.5" x14ac:dyDescent="0.35">
      <c r="A86" s="67"/>
      <c r="B86" s="67"/>
      <c r="C86" s="67"/>
      <c r="D86" s="67"/>
      <c r="E86" s="67"/>
      <c r="F86" s="67"/>
      <c r="G86" s="67"/>
    </row>
    <row r="87" spans="1:7" ht="15.5" x14ac:dyDescent="0.35">
      <c r="A87" s="64"/>
      <c r="B87" s="64"/>
      <c r="C87" s="64"/>
      <c r="D87" s="64"/>
      <c r="E87" s="64"/>
      <c r="F87" s="64"/>
      <c r="G87" s="64"/>
    </row>
    <row r="88" spans="1:7" ht="15.5" x14ac:dyDescent="0.35">
      <c r="A88" s="67"/>
      <c r="B88" s="67"/>
      <c r="C88" s="67"/>
      <c r="D88" s="67"/>
      <c r="E88" s="67"/>
      <c r="F88" s="67"/>
      <c r="G88" s="67"/>
    </row>
    <row r="89" spans="1:7" ht="15.5" x14ac:dyDescent="0.35">
      <c r="A89" s="64"/>
      <c r="B89" s="64"/>
      <c r="C89" s="64"/>
      <c r="D89" s="64"/>
      <c r="E89" s="64"/>
      <c r="F89" s="64"/>
      <c r="G89" s="64"/>
    </row>
    <row r="90" spans="1:7" ht="15.5" x14ac:dyDescent="0.35">
      <c r="A90" s="67"/>
      <c r="B90" s="67"/>
      <c r="C90" s="67"/>
      <c r="D90" s="67"/>
      <c r="E90" s="67"/>
      <c r="F90" s="67"/>
      <c r="G90" s="67"/>
    </row>
    <row r="91" spans="1:7" ht="15.5" x14ac:dyDescent="0.35">
      <c r="A91" s="64"/>
      <c r="B91" s="64"/>
      <c r="C91" s="64"/>
      <c r="D91" s="64"/>
      <c r="E91" s="64"/>
      <c r="F91" s="64"/>
      <c r="G91" s="64"/>
    </row>
    <row r="92" spans="1:7" ht="15.5" x14ac:dyDescent="0.35">
      <c r="A92" s="67"/>
      <c r="B92" s="67"/>
      <c r="C92" s="67"/>
      <c r="D92" s="67"/>
      <c r="E92" s="67"/>
      <c r="F92" s="67"/>
      <c r="G92" s="67"/>
    </row>
    <row r="93" spans="1:7" ht="15.5" x14ac:dyDescent="0.35">
      <c r="A93" s="64"/>
      <c r="B93" s="64"/>
      <c r="C93" s="64"/>
      <c r="D93" s="64"/>
      <c r="E93" s="64"/>
      <c r="F93" s="64"/>
      <c r="G93" s="64"/>
    </row>
    <row r="94" spans="1:7" ht="15.5" x14ac:dyDescent="0.35">
      <c r="A94" s="67"/>
      <c r="B94" s="67"/>
      <c r="C94" s="67"/>
      <c r="D94" s="67"/>
      <c r="E94" s="67"/>
      <c r="F94" s="67"/>
      <c r="G94" s="67"/>
    </row>
    <row r="95" spans="1:7" ht="15.5" x14ac:dyDescent="0.35">
      <c r="A95" s="64"/>
      <c r="B95" s="64"/>
      <c r="C95" s="64"/>
      <c r="D95" s="64"/>
      <c r="E95" s="64"/>
      <c r="F95" s="64"/>
      <c r="G95" s="64"/>
    </row>
    <row r="96" spans="1:7" ht="15.5" x14ac:dyDescent="0.35">
      <c r="A96" s="67"/>
      <c r="B96" s="67"/>
      <c r="C96" s="67"/>
      <c r="D96" s="67"/>
      <c r="E96" s="67"/>
      <c r="F96" s="67"/>
      <c r="G96" s="67"/>
    </row>
    <row r="97" spans="1:7" ht="15.5" x14ac:dyDescent="0.35">
      <c r="A97" s="64"/>
      <c r="B97" s="64"/>
      <c r="C97" s="64"/>
      <c r="D97" s="64"/>
      <c r="E97" s="64"/>
      <c r="F97" s="64"/>
      <c r="G97" s="64"/>
    </row>
    <row r="98" spans="1:7" ht="15.5" x14ac:dyDescent="0.35">
      <c r="A98" s="67"/>
      <c r="B98" s="67"/>
      <c r="C98" s="67"/>
      <c r="D98" s="67"/>
      <c r="E98" s="67"/>
      <c r="F98" s="67"/>
      <c r="G98" s="67"/>
    </row>
    <row r="99" spans="1:7" ht="15.5" x14ac:dyDescent="0.35">
      <c r="A99" s="64"/>
      <c r="B99" s="64"/>
      <c r="C99" s="64"/>
      <c r="D99" s="64"/>
      <c r="E99" s="64"/>
      <c r="F99" s="64"/>
      <c r="G99" s="64"/>
    </row>
    <row r="100" spans="1:7" ht="15.5" x14ac:dyDescent="0.35">
      <c r="A100" s="67"/>
      <c r="B100" s="67"/>
      <c r="C100" s="67"/>
      <c r="D100" s="67"/>
      <c r="E100" s="67"/>
      <c r="F100" s="67"/>
      <c r="G100" s="67"/>
    </row>
    <row r="101" spans="1:7" ht="15.5" x14ac:dyDescent="0.35">
      <c r="A101" s="64"/>
      <c r="B101" s="64"/>
      <c r="C101" s="64"/>
      <c r="D101" s="64"/>
      <c r="E101" s="64"/>
      <c r="F101" s="64"/>
      <c r="G101" s="64"/>
    </row>
    <row r="102" spans="1:7" ht="15.5" x14ac:dyDescent="0.35">
      <c r="A102" s="67"/>
      <c r="B102" s="67"/>
      <c r="C102" s="67"/>
      <c r="D102" s="67"/>
      <c r="E102" s="67"/>
      <c r="F102" s="67"/>
      <c r="G102" s="67"/>
    </row>
    <row r="103" spans="1:7" ht="15.5" x14ac:dyDescent="0.35">
      <c r="A103" s="64"/>
      <c r="B103" s="64"/>
      <c r="C103" s="64"/>
      <c r="D103" s="64"/>
      <c r="E103" s="64"/>
      <c r="F103" s="64"/>
      <c r="G103" s="64"/>
    </row>
    <row r="104" spans="1:7" ht="15.5" x14ac:dyDescent="0.35">
      <c r="A104" s="67"/>
      <c r="B104" s="67"/>
      <c r="C104" s="67"/>
      <c r="D104" s="67"/>
      <c r="E104" s="67"/>
      <c r="F104" s="67"/>
      <c r="G104" s="67"/>
    </row>
    <row r="105" spans="1:7" ht="15.5" x14ac:dyDescent="0.35">
      <c r="A105" s="64"/>
      <c r="B105" s="64"/>
      <c r="C105" s="64"/>
      <c r="D105" s="64"/>
      <c r="E105" s="64"/>
      <c r="F105" s="64"/>
      <c r="G105" s="64"/>
    </row>
    <row r="106" spans="1:7" ht="15.5" x14ac:dyDescent="0.35">
      <c r="A106" s="67"/>
      <c r="B106" s="67"/>
      <c r="C106" s="67"/>
      <c r="D106" s="67"/>
      <c r="E106" s="67"/>
      <c r="F106" s="67"/>
      <c r="G106" s="67"/>
    </row>
    <row r="107" spans="1:7" ht="15.5" x14ac:dyDescent="0.35">
      <c r="A107" s="64"/>
      <c r="B107" s="64"/>
      <c r="C107" s="64"/>
      <c r="D107" s="64"/>
      <c r="E107" s="64"/>
      <c r="F107" s="64"/>
      <c r="G107" s="64"/>
    </row>
    <row r="108" spans="1:7" ht="15.5" x14ac:dyDescent="0.35">
      <c r="A108" s="67"/>
      <c r="B108" s="67"/>
      <c r="C108" s="67"/>
      <c r="D108" s="67"/>
      <c r="E108" s="67"/>
      <c r="F108" s="67"/>
      <c r="G108" s="67"/>
    </row>
    <row r="109" spans="1:7" ht="15.5" x14ac:dyDescent="0.35">
      <c r="A109" s="64"/>
      <c r="B109" s="64"/>
      <c r="C109" s="64"/>
      <c r="D109" s="64"/>
      <c r="E109" s="64"/>
      <c r="F109" s="64"/>
      <c r="G109" s="64"/>
    </row>
    <row r="110" spans="1:7" ht="15.5" x14ac:dyDescent="0.35">
      <c r="A110" s="67"/>
      <c r="B110" s="67"/>
      <c r="C110" s="67"/>
      <c r="D110" s="67"/>
      <c r="E110" s="67"/>
      <c r="F110" s="67"/>
      <c r="G110" s="67"/>
    </row>
    <row r="111" spans="1:7" ht="15.5" x14ac:dyDescent="0.35">
      <c r="A111" s="64"/>
      <c r="B111" s="64"/>
      <c r="C111" s="64"/>
      <c r="D111" s="64"/>
      <c r="E111" s="64"/>
      <c r="F111" s="64"/>
      <c r="G111" s="64"/>
    </row>
    <row r="112" spans="1:7" ht="15.5" x14ac:dyDescent="0.35">
      <c r="A112" s="67"/>
      <c r="B112" s="67"/>
      <c r="C112" s="67"/>
      <c r="D112" s="67"/>
      <c r="E112" s="67"/>
      <c r="F112" s="67"/>
      <c r="G112" s="67"/>
    </row>
    <row r="113" spans="1:7" ht="15.5" x14ac:dyDescent="0.35">
      <c r="A113" s="64"/>
      <c r="B113" s="64"/>
      <c r="C113" s="64"/>
      <c r="D113" s="64"/>
      <c r="E113" s="64"/>
      <c r="F113" s="64"/>
      <c r="G113" s="64"/>
    </row>
    <row r="114" spans="1:7" ht="15.5" x14ac:dyDescent="0.35">
      <c r="A114" s="67"/>
      <c r="B114" s="67"/>
      <c r="C114" s="67"/>
      <c r="D114" s="67"/>
      <c r="E114" s="67"/>
      <c r="F114" s="67"/>
      <c r="G114" s="67"/>
    </row>
    <row r="115" spans="1:7" ht="15.5" x14ac:dyDescent="0.35">
      <c r="A115" s="64"/>
      <c r="B115" s="64"/>
      <c r="C115" s="64"/>
      <c r="D115" s="64"/>
      <c r="E115" s="64"/>
      <c r="F115" s="64"/>
      <c r="G115" s="64"/>
    </row>
    <row r="116" spans="1:7" ht="15.5" x14ac:dyDescent="0.35">
      <c r="A116" s="67"/>
      <c r="B116" s="67"/>
      <c r="C116" s="67"/>
      <c r="D116" s="67"/>
      <c r="E116" s="67"/>
      <c r="F116" s="67"/>
      <c r="G116" s="67"/>
    </row>
    <row r="117" spans="1:7" ht="15.5" x14ac:dyDescent="0.35">
      <c r="A117" s="64"/>
      <c r="B117" s="64"/>
      <c r="C117" s="64"/>
      <c r="D117" s="64"/>
      <c r="E117" s="64"/>
      <c r="F117" s="64"/>
      <c r="G117" s="64"/>
    </row>
    <row r="118" spans="1:7" ht="15.5" x14ac:dyDescent="0.35">
      <c r="A118" s="67"/>
      <c r="B118" s="67"/>
      <c r="C118" s="67"/>
      <c r="D118" s="67"/>
      <c r="E118" s="67"/>
      <c r="F118" s="67"/>
      <c r="G118" s="67"/>
    </row>
    <row r="119" spans="1:7" ht="15.5" x14ac:dyDescent="0.35">
      <c r="A119" s="64"/>
      <c r="B119" s="64"/>
      <c r="C119" s="64"/>
      <c r="D119" s="64"/>
      <c r="E119" s="64"/>
      <c r="F119" s="64"/>
      <c r="G119" s="64"/>
    </row>
    <row r="120" spans="1:7" ht="15.5" x14ac:dyDescent="0.35">
      <c r="A120" s="67"/>
      <c r="B120" s="67"/>
      <c r="C120" s="67"/>
      <c r="D120" s="67"/>
      <c r="E120" s="67"/>
      <c r="F120" s="67"/>
      <c r="G120" s="67"/>
    </row>
    <row r="121" spans="1:7" ht="15.5" x14ac:dyDescent="0.35">
      <c r="A121" s="64"/>
      <c r="B121" s="64"/>
      <c r="C121" s="64"/>
      <c r="D121" s="64"/>
      <c r="E121" s="64"/>
      <c r="F121" s="64"/>
      <c r="G121" s="64"/>
    </row>
    <row r="122" spans="1:7" ht="15.5" x14ac:dyDescent="0.35">
      <c r="A122" s="67"/>
      <c r="B122" s="67"/>
      <c r="C122" s="67"/>
      <c r="D122" s="67"/>
      <c r="E122" s="67"/>
      <c r="F122" s="67"/>
      <c r="G122" s="67"/>
    </row>
    <row r="123" spans="1:7" ht="15.5" x14ac:dyDescent="0.35">
      <c r="A123" s="64"/>
      <c r="B123" s="64"/>
      <c r="C123" s="64"/>
      <c r="D123" s="64"/>
      <c r="E123" s="64"/>
      <c r="F123" s="64"/>
      <c r="G123" s="64"/>
    </row>
    <row r="124" spans="1:7" ht="15.5" x14ac:dyDescent="0.35">
      <c r="A124" s="67"/>
      <c r="B124" s="67"/>
      <c r="C124" s="67"/>
      <c r="D124" s="67"/>
      <c r="E124" s="67"/>
      <c r="F124" s="67"/>
      <c r="G124" s="67"/>
    </row>
    <row r="125" spans="1:7" ht="15.5" x14ac:dyDescent="0.35">
      <c r="A125" s="64"/>
      <c r="B125" s="64"/>
      <c r="C125" s="64"/>
      <c r="D125" s="64"/>
      <c r="E125" s="64"/>
      <c r="F125" s="64"/>
      <c r="G125" s="64"/>
    </row>
    <row r="126" spans="1:7" ht="15.5" x14ac:dyDescent="0.35">
      <c r="A126" s="67"/>
      <c r="B126" s="67"/>
      <c r="C126" s="67"/>
      <c r="D126" s="67"/>
      <c r="E126" s="67"/>
      <c r="F126" s="67"/>
      <c r="G126" s="67"/>
    </row>
    <row r="127" spans="1:7" ht="15.5" x14ac:dyDescent="0.35">
      <c r="A127" s="64"/>
      <c r="B127" s="64"/>
      <c r="C127" s="64"/>
      <c r="D127" s="64"/>
      <c r="E127" s="64"/>
      <c r="F127" s="64"/>
      <c r="G127" s="64"/>
    </row>
    <row r="128" spans="1:7" ht="15.5" x14ac:dyDescent="0.35">
      <c r="A128" s="67"/>
      <c r="B128" s="67"/>
      <c r="C128" s="67"/>
      <c r="D128" s="67"/>
      <c r="E128" s="67"/>
      <c r="F128" s="67"/>
      <c r="G128" s="67"/>
    </row>
    <row r="129" spans="1:7" ht="15.5" x14ac:dyDescent="0.35">
      <c r="A129" s="64"/>
      <c r="B129" s="64"/>
      <c r="C129" s="64"/>
      <c r="D129" s="64"/>
      <c r="E129" s="64"/>
      <c r="F129" s="64"/>
      <c r="G129" s="64"/>
    </row>
    <row r="130" spans="1:7" ht="15.5" x14ac:dyDescent="0.35">
      <c r="A130" s="67"/>
      <c r="B130" s="67"/>
      <c r="C130" s="67"/>
      <c r="D130" s="67"/>
      <c r="E130" s="67"/>
      <c r="F130" s="67"/>
      <c r="G130" s="67"/>
    </row>
    <row r="131" spans="1:7" ht="15.5" x14ac:dyDescent="0.35">
      <c r="A131" s="64"/>
      <c r="B131" s="64"/>
      <c r="C131" s="64"/>
      <c r="D131" s="64"/>
      <c r="E131" s="64"/>
      <c r="F131" s="64"/>
      <c r="G131" s="64"/>
    </row>
    <row r="132" spans="1:7" ht="15.5" x14ac:dyDescent="0.35">
      <c r="A132" s="67"/>
      <c r="B132" s="67"/>
      <c r="C132" s="67"/>
      <c r="D132" s="67"/>
      <c r="E132" s="67"/>
      <c r="F132" s="67"/>
      <c r="G132" s="67"/>
    </row>
    <row r="133" spans="1:7" ht="15.5" x14ac:dyDescent="0.35">
      <c r="A133" s="64"/>
      <c r="B133" s="64"/>
      <c r="C133" s="64"/>
      <c r="D133" s="64"/>
      <c r="E133" s="64"/>
      <c r="F133" s="64"/>
      <c r="G133" s="64"/>
    </row>
    <row r="134" spans="1:7" ht="15.5" x14ac:dyDescent="0.35">
      <c r="A134" s="67"/>
      <c r="B134" s="67"/>
      <c r="C134" s="67"/>
      <c r="D134" s="67"/>
      <c r="E134" s="67"/>
      <c r="F134" s="67"/>
      <c r="G134" s="67"/>
    </row>
    <row r="135" spans="1:7" ht="15.5" x14ac:dyDescent="0.35">
      <c r="A135" s="64"/>
      <c r="B135" s="64"/>
      <c r="C135" s="64"/>
      <c r="D135" s="64"/>
      <c r="E135" s="64"/>
      <c r="F135" s="64"/>
      <c r="G135" s="64"/>
    </row>
    <row r="136" spans="1:7" ht="15.5" x14ac:dyDescent="0.35">
      <c r="A136" s="67"/>
      <c r="B136" s="67"/>
      <c r="C136" s="67"/>
      <c r="D136" s="67"/>
      <c r="E136" s="67"/>
      <c r="F136" s="67"/>
      <c r="G136" s="67"/>
    </row>
    <row r="137" spans="1:7" ht="15.5" x14ac:dyDescent="0.35">
      <c r="A137" s="64"/>
      <c r="B137" s="64"/>
      <c r="C137" s="64"/>
      <c r="D137" s="64"/>
      <c r="E137" s="64"/>
      <c r="F137" s="64"/>
      <c r="G137" s="64"/>
    </row>
    <row r="138" spans="1:7" ht="15.5" x14ac:dyDescent="0.35">
      <c r="A138" s="67"/>
      <c r="B138" s="67"/>
      <c r="C138" s="67"/>
      <c r="D138" s="67"/>
      <c r="E138" s="67"/>
      <c r="F138" s="67"/>
      <c r="G138" s="67"/>
    </row>
    <row r="139" spans="1:7" ht="15.5" x14ac:dyDescent="0.35">
      <c r="A139" s="64"/>
      <c r="B139" s="64"/>
      <c r="C139" s="64"/>
      <c r="D139" s="64"/>
      <c r="E139" s="64"/>
      <c r="F139" s="64"/>
      <c r="G139" s="64"/>
    </row>
    <row r="140" spans="1:7" ht="15.5" x14ac:dyDescent="0.35">
      <c r="A140" s="67"/>
      <c r="B140" s="67"/>
      <c r="C140" s="67"/>
      <c r="D140" s="67"/>
      <c r="E140" s="67"/>
      <c r="F140" s="67"/>
      <c r="G140" s="67"/>
    </row>
    <row r="141" spans="1:7" ht="15.5" x14ac:dyDescent="0.35">
      <c r="A141" s="64"/>
      <c r="B141" s="64"/>
      <c r="C141" s="64"/>
      <c r="D141" s="64"/>
      <c r="E141" s="64"/>
      <c r="F141" s="64"/>
      <c r="G141" s="64"/>
    </row>
    <row r="142" spans="1:7" ht="15.5" x14ac:dyDescent="0.35">
      <c r="A142" s="67"/>
      <c r="B142" s="67"/>
      <c r="C142" s="67"/>
      <c r="D142" s="67"/>
      <c r="E142" s="67"/>
      <c r="F142" s="67"/>
      <c r="G142" s="67"/>
    </row>
    <row r="143" spans="1:7" ht="15.5" x14ac:dyDescent="0.35">
      <c r="A143" s="64"/>
      <c r="B143" s="64"/>
      <c r="C143" s="64"/>
      <c r="D143" s="64"/>
      <c r="E143" s="64"/>
      <c r="F143" s="64"/>
      <c r="G143" s="64"/>
    </row>
    <row r="144" spans="1:7" ht="15.5" x14ac:dyDescent="0.35">
      <c r="A144" s="67"/>
      <c r="B144" s="67"/>
      <c r="C144" s="67"/>
      <c r="D144" s="67"/>
      <c r="E144" s="67"/>
      <c r="F144" s="67"/>
      <c r="G144" s="67"/>
    </row>
    <row r="145" spans="1:7" ht="15.5" x14ac:dyDescent="0.35">
      <c r="A145" s="64"/>
      <c r="B145" s="64"/>
      <c r="C145" s="64"/>
      <c r="D145" s="64"/>
      <c r="E145" s="64"/>
      <c r="F145" s="64"/>
      <c r="G145" s="64"/>
    </row>
    <row r="146" spans="1:7" ht="15.5" x14ac:dyDescent="0.35">
      <c r="A146" s="67"/>
      <c r="B146" s="67"/>
      <c r="C146" s="67"/>
      <c r="D146" s="67"/>
      <c r="E146" s="67"/>
      <c r="F146" s="67"/>
      <c r="G146" s="67"/>
    </row>
    <row r="147" spans="1:7" ht="15.5" x14ac:dyDescent="0.35">
      <c r="A147" s="64"/>
      <c r="B147" s="64"/>
      <c r="C147" s="64"/>
      <c r="D147" s="64"/>
      <c r="E147" s="64"/>
      <c r="F147" s="64"/>
      <c r="G147" s="64"/>
    </row>
    <row r="148" spans="1:7" ht="15.5" x14ac:dyDescent="0.35">
      <c r="A148" s="67"/>
      <c r="B148" s="67"/>
      <c r="C148" s="67"/>
      <c r="D148" s="67"/>
      <c r="E148" s="67"/>
      <c r="F148" s="67"/>
      <c r="G148" s="67"/>
    </row>
    <row r="149" spans="1:7" ht="15.5" x14ac:dyDescent="0.35">
      <c r="A149" s="64"/>
      <c r="B149" s="64"/>
      <c r="C149" s="64"/>
      <c r="D149" s="64"/>
      <c r="E149" s="64"/>
      <c r="F149" s="64"/>
      <c r="G149" s="64"/>
    </row>
    <row r="150" spans="1:7" ht="15.5" x14ac:dyDescent="0.35">
      <c r="A150" s="67"/>
      <c r="B150" s="67"/>
      <c r="C150" s="67"/>
      <c r="D150" s="67"/>
      <c r="E150" s="67"/>
      <c r="F150" s="67"/>
      <c r="G150" s="67"/>
    </row>
    <row r="151" spans="1:7" ht="15.5" x14ac:dyDescent="0.35">
      <c r="A151" s="64"/>
      <c r="B151" s="64"/>
      <c r="C151" s="64"/>
      <c r="D151" s="64"/>
      <c r="E151" s="64"/>
      <c r="F151" s="64"/>
      <c r="G151" s="64"/>
    </row>
    <row r="152" spans="1:7" ht="15.5" x14ac:dyDescent="0.35">
      <c r="A152" s="67"/>
      <c r="B152" s="67"/>
      <c r="C152" s="67"/>
      <c r="D152" s="67"/>
      <c r="E152" s="67"/>
      <c r="F152" s="67"/>
      <c r="G152" s="67"/>
    </row>
    <row r="153" spans="1:7" ht="15.5" x14ac:dyDescent="0.35">
      <c r="A153" s="64"/>
      <c r="B153" s="64"/>
      <c r="C153" s="64"/>
      <c r="D153" s="64"/>
      <c r="E153" s="64"/>
      <c r="F153" s="64"/>
      <c r="G153" s="64"/>
    </row>
    <row r="154" spans="1:7" ht="15.5" x14ac:dyDescent="0.35">
      <c r="A154" s="67"/>
      <c r="B154" s="67"/>
      <c r="C154" s="67"/>
      <c r="D154" s="67"/>
      <c r="E154" s="67"/>
      <c r="F154" s="67"/>
      <c r="G154" s="67"/>
    </row>
    <row r="155" spans="1:7" ht="15.5" x14ac:dyDescent="0.35">
      <c r="A155" s="64"/>
      <c r="B155" s="64"/>
      <c r="C155" s="64"/>
      <c r="D155" s="64"/>
      <c r="E155" s="64"/>
      <c r="F155" s="64"/>
      <c r="G155" s="64"/>
    </row>
    <row r="156" spans="1:7" ht="15.5" x14ac:dyDescent="0.35">
      <c r="A156" s="67"/>
      <c r="B156" s="67"/>
      <c r="C156" s="67"/>
      <c r="D156" s="67"/>
      <c r="E156" s="67"/>
      <c r="F156" s="67"/>
      <c r="G156" s="67"/>
    </row>
    <row r="157" spans="1:7" ht="15.5" x14ac:dyDescent="0.35">
      <c r="A157" s="64"/>
      <c r="B157" s="64"/>
      <c r="C157" s="64"/>
      <c r="D157" s="64"/>
      <c r="E157" s="64"/>
      <c r="F157" s="64"/>
      <c r="G157" s="64"/>
    </row>
    <row r="158" spans="1:7" ht="15.5" x14ac:dyDescent="0.35">
      <c r="A158" s="67"/>
      <c r="B158" s="67"/>
      <c r="C158" s="67"/>
      <c r="D158" s="67"/>
      <c r="E158" s="67"/>
      <c r="F158" s="67"/>
      <c r="G158" s="67"/>
    </row>
    <row r="159" spans="1:7" ht="15.5" x14ac:dyDescent="0.35">
      <c r="A159" s="64"/>
      <c r="B159" s="64"/>
      <c r="C159" s="64"/>
      <c r="D159" s="64"/>
      <c r="E159" s="64"/>
      <c r="F159" s="64"/>
      <c r="G159" s="64"/>
    </row>
    <row r="160" spans="1:7" ht="15.5" x14ac:dyDescent="0.35">
      <c r="A160" s="67"/>
      <c r="B160" s="67"/>
      <c r="C160" s="67"/>
      <c r="D160" s="67"/>
      <c r="E160" s="67"/>
      <c r="F160" s="67"/>
      <c r="G160" s="67"/>
    </row>
    <row r="161" spans="1:7" ht="15.5" x14ac:dyDescent="0.35">
      <c r="A161" s="64"/>
      <c r="B161" s="64"/>
      <c r="C161" s="64"/>
      <c r="D161" s="64"/>
      <c r="E161" s="64"/>
      <c r="F161" s="64"/>
      <c r="G161" s="64"/>
    </row>
    <row r="162" spans="1:7" ht="15.5" x14ac:dyDescent="0.35">
      <c r="A162" s="67"/>
      <c r="B162" s="67"/>
      <c r="C162" s="67"/>
      <c r="D162" s="67"/>
      <c r="E162" s="67"/>
      <c r="F162" s="67"/>
      <c r="G162" s="67"/>
    </row>
    <row r="163" spans="1:7" ht="15.5" x14ac:dyDescent="0.35">
      <c r="A163" s="64"/>
      <c r="B163" s="64"/>
      <c r="C163" s="64"/>
      <c r="D163" s="64"/>
      <c r="E163" s="64"/>
      <c r="F163" s="64"/>
      <c r="G163" s="64"/>
    </row>
    <row r="164" spans="1:7" ht="15.5" x14ac:dyDescent="0.35">
      <c r="A164" s="67"/>
      <c r="B164" s="67"/>
      <c r="C164" s="67"/>
      <c r="D164" s="67"/>
      <c r="E164" s="67"/>
      <c r="F164" s="67"/>
      <c r="G164" s="67"/>
    </row>
    <row r="165" spans="1:7" ht="15.5" x14ac:dyDescent="0.35">
      <c r="A165" s="64"/>
      <c r="B165" s="64"/>
      <c r="C165" s="64"/>
      <c r="D165" s="64"/>
      <c r="E165" s="64"/>
      <c r="F165" s="64"/>
      <c r="G165" s="64"/>
    </row>
    <row r="166" spans="1:7" ht="15.5" x14ac:dyDescent="0.35">
      <c r="A166" s="67"/>
      <c r="B166" s="67"/>
      <c r="C166" s="67"/>
      <c r="D166" s="67"/>
      <c r="E166" s="67"/>
      <c r="F166" s="67"/>
      <c r="G166" s="67"/>
    </row>
    <row r="167" spans="1:7" ht="15.5" x14ac:dyDescent="0.35">
      <c r="A167" s="64"/>
      <c r="B167" s="64"/>
      <c r="C167" s="64"/>
      <c r="D167" s="64"/>
      <c r="E167" s="64"/>
      <c r="F167" s="64"/>
      <c r="G167" s="64"/>
    </row>
    <row r="168" spans="1:7" ht="15.5" x14ac:dyDescent="0.35">
      <c r="A168" s="67"/>
      <c r="B168" s="67"/>
      <c r="C168" s="67"/>
      <c r="D168" s="67"/>
      <c r="E168" s="67"/>
      <c r="F168" s="67"/>
      <c r="G168" s="67"/>
    </row>
    <row r="169" spans="1:7" ht="15.5" x14ac:dyDescent="0.35">
      <c r="A169" s="64"/>
      <c r="B169" s="64"/>
      <c r="C169" s="64"/>
      <c r="D169" s="64"/>
      <c r="E169" s="64"/>
      <c r="F169" s="64"/>
      <c r="G169" s="64"/>
    </row>
    <row r="170" spans="1:7" ht="15.5" x14ac:dyDescent="0.35">
      <c r="A170" s="67"/>
      <c r="B170" s="67"/>
      <c r="C170" s="67"/>
      <c r="D170" s="67"/>
      <c r="E170" s="67"/>
      <c r="F170" s="67"/>
      <c r="G170" s="67"/>
    </row>
    <row r="171" spans="1:7" ht="15.5" x14ac:dyDescent="0.35">
      <c r="A171" s="64"/>
      <c r="B171" s="64"/>
      <c r="C171" s="64"/>
      <c r="D171" s="64"/>
      <c r="E171" s="64"/>
      <c r="F171" s="64"/>
      <c r="G171" s="64"/>
    </row>
    <row r="172" spans="1:7" ht="15.5" x14ac:dyDescent="0.35">
      <c r="A172" s="67"/>
      <c r="B172" s="67"/>
      <c r="C172" s="67"/>
      <c r="D172" s="67"/>
      <c r="E172" s="67"/>
      <c r="F172" s="67"/>
      <c r="G172" s="67"/>
    </row>
    <row r="173" spans="1:7" ht="15.5" x14ac:dyDescent="0.35">
      <c r="A173" s="64"/>
      <c r="B173" s="64"/>
      <c r="C173" s="64"/>
      <c r="D173" s="64"/>
      <c r="E173" s="64"/>
      <c r="F173" s="64"/>
      <c r="G173" s="64"/>
    </row>
    <row r="174" spans="1:7" ht="15.5" x14ac:dyDescent="0.35">
      <c r="A174" s="67"/>
      <c r="B174" s="67"/>
      <c r="C174" s="67"/>
      <c r="D174" s="67"/>
      <c r="E174" s="67"/>
      <c r="F174" s="67"/>
      <c r="G174" s="67"/>
    </row>
    <row r="175" spans="1:7" ht="15.5" x14ac:dyDescent="0.35">
      <c r="A175" s="64"/>
      <c r="B175" s="64"/>
      <c r="C175" s="64"/>
      <c r="D175" s="64"/>
      <c r="E175" s="64"/>
      <c r="F175" s="64"/>
      <c r="G175" s="64"/>
    </row>
    <row r="176" spans="1:7" ht="15.5" x14ac:dyDescent="0.35">
      <c r="A176" s="67"/>
      <c r="B176" s="67"/>
      <c r="C176" s="67"/>
      <c r="D176" s="67"/>
      <c r="E176" s="67"/>
      <c r="F176" s="67"/>
      <c r="G176" s="67"/>
    </row>
    <row r="177" spans="1:7" ht="15.5" x14ac:dyDescent="0.35">
      <c r="A177" s="64"/>
      <c r="B177" s="64"/>
      <c r="C177" s="64"/>
      <c r="D177" s="64"/>
      <c r="E177" s="64"/>
      <c r="F177" s="64"/>
      <c r="G177" s="64"/>
    </row>
    <row r="178" spans="1:7" ht="15.5" x14ac:dyDescent="0.35">
      <c r="A178" s="67"/>
      <c r="B178" s="67"/>
      <c r="C178" s="67"/>
      <c r="D178" s="67"/>
      <c r="E178" s="67"/>
      <c r="F178" s="67"/>
      <c r="G178" s="67"/>
    </row>
    <row r="179" spans="1:7" ht="15.5" x14ac:dyDescent="0.35">
      <c r="A179" s="64"/>
      <c r="B179" s="64"/>
      <c r="C179" s="64"/>
      <c r="D179" s="64"/>
      <c r="E179" s="64"/>
      <c r="F179" s="64"/>
      <c r="G179" s="64"/>
    </row>
    <row r="180" spans="1:7" ht="15.5" x14ac:dyDescent="0.35">
      <c r="A180" s="67"/>
      <c r="B180" s="67"/>
      <c r="C180" s="67"/>
      <c r="D180" s="67"/>
      <c r="E180" s="67"/>
      <c r="F180" s="67"/>
      <c r="G180" s="67"/>
    </row>
    <row r="181" spans="1:7" ht="15.5" x14ac:dyDescent="0.35">
      <c r="A181" s="64"/>
      <c r="B181" s="64"/>
      <c r="C181" s="64"/>
      <c r="D181" s="64"/>
      <c r="E181" s="64"/>
      <c r="F181" s="64"/>
      <c r="G181" s="64"/>
    </row>
    <row r="182" spans="1:7" ht="15.5" x14ac:dyDescent="0.35">
      <c r="A182" s="67"/>
      <c r="B182" s="67"/>
      <c r="C182" s="67"/>
      <c r="D182" s="67"/>
      <c r="E182" s="67"/>
      <c r="F182" s="67"/>
      <c r="G182" s="67"/>
    </row>
    <row r="183" spans="1:7" ht="15.5" x14ac:dyDescent="0.35">
      <c r="A183" s="64"/>
      <c r="B183" s="64"/>
      <c r="C183" s="64"/>
      <c r="D183" s="64"/>
      <c r="E183" s="64"/>
      <c r="F183" s="64"/>
      <c r="G183" s="64"/>
    </row>
    <row r="184" spans="1:7" ht="15.5" x14ac:dyDescent="0.35">
      <c r="A184" s="67"/>
      <c r="B184" s="67"/>
      <c r="C184" s="67"/>
      <c r="D184" s="67"/>
      <c r="E184" s="67"/>
      <c r="F184" s="67"/>
      <c r="G184" s="67"/>
    </row>
    <row r="185" spans="1:7" ht="15.5" x14ac:dyDescent="0.35">
      <c r="A185" s="64"/>
      <c r="B185" s="64"/>
      <c r="C185" s="64"/>
      <c r="D185" s="64"/>
      <c r="E185" s="64"/>
      <c r="F185" s="64"/>
      <c r="G185" s="64"/>
    </row>
    <row r="186" spans="1:7" ht="15.5" x14ac:dyDescent="0.35">
      <c r="A186" s="67"/>
      <c r="B186" s="67"/>
      <c r="C186" s="67"/>
      <c r="D186" s="67"/>
      <c r="E186" s="67"/>
      <c r="F186" s="67"/>
      <c r="G186" s="67"/>
    </row>
    <row r="187" spans="1:7" ht="15.5" x14ac:dyDescent="0.35">
      <c r="A187" s="64"/>
      <c r="B187" s="64"/>
      <c r="C187" s="64"/>
      <c r="D187" s="64"/>
      <c r="E187" s="64"/>
      <c r="F187" s="64"/>
      <c r="G187" s="64"/>
    </row>
    <row r="188" spans="1:7" ht="15.5" x14ac:dyDescent="0.35">
      <c r="A188" s="67"/>
      <c r="B188" s="67"/>
      <c r="C188" s="67"/>
      <c r="D188" s="67"/>
      <c r="E188" s="67"/>
      <c r="F188" s="67"/>
      <c r="G188" s="67"/>
    </row>
    <row r="189" spans="1:7" ht="15.5" x14ac:dyDescent="0.35">
      <c r="A189" s="64"/>
      <c r="B189" s="64"/>
      <c r="C189" s="64"/>
      <c r="D189" s="64"/>
      <c r="E189" s="64"/>
      <c r="F189" s="64"/>
      <c r="G189" s="64"/>
    </row>
    <row r="190" spans="1:7" ht="15.5" x14ac:dyDescent="0.35">
      <c r="A190" s="67"/>
      <c r="B190" s="67"/>
      <c r="C190" s="67"/>
      <c r="D190" s="67"/>
      <c r="E190" s="67"/>
      <c r="F190" s="67"/>
      <c r="G190" s="67"/>
    </row>
    <row r="191" spans="1:7" ht="15.5" x14ac:dyDescent="0.35">
      <c r="A191" s="64"/>
      <c r="B191" s="64"/>
      <c r="C191" s="64"/>
      <c r="D191" s="64"/>
      <c r="E191" s="64"/>
      <c r="F191" s="64"/>
      <c r="G191" s="64"/>
    </row>
    <row r="192" spans="1:7" ht="15.5" x14ac:dyDescent="0.35">
      <c r="A192" s="67"/>
      <c r="B192" s="67"/>
      <c r="C192" s="67"/>
      <c r="D192" s="67"/>
      <c r="E192" s="67"/>
      <c r="F192" s="67"/>
      <c r="G192" s="67"/>
    </row>
    <row r="193" spans="1:7" ht="15.5" x14ac:dyDescent="0.35">
      <c r="A193" s="64"/>
      <c r="B193" s="64"/>
      <c r="C193" s="64"/>
      <c r="D193" s="64"/>
      <c r="E193" s="64"/>
      <c r="F193" s="64"/>
      <c r="G193" s="64"/>
    </row>
    <row r="194" spans="1:7" ht="15.5" x14ac:dyDescent="0.35">
      <c r="A194" s="67"/>
      <c r="B194" s="67"/>
      <c r="C194" s="67"/>
      <c r="D194" s="67"/>
      <c r="E194" s="67"/>
      <c r="F194" s="67"/>
      <c r="G194" s="67"/>
    </row>
    <row r="195" spans="1:7" ht="15.5" x14ac:dyDescent="0.35">
      <c r="A195" s="64"/>
      <c r="B195" s="64"/>
      <c r="C195" s="64"/>
      <c r="D195" s="64"/>
      <c r="E195" s="64"/>
      <c r="F195" s="64"/>
      <c r="G195" s="64"/>
    </row>
    <row r="196" spans="1:7" ht="15.5" x14ac:dyDescent="0.35">
      <c r="A196" s="67"/>
      <c r="B196" s="67"/>
      <c r="C196" s="67"/>
      <c r="D196" s="67"/>
      <c r="E196" s="67"/>
      <c r="F196" s="67"/>
      <c r="G196" s="67"/>
    </row>
    <row r="197" spans="1:7" ht="15.5" x14ac:dyDescent="0.35">
      <c r="A197" s="64"/>
      <c r="B197" s="64"/>
      <c r="C197" s="64"/>
      <c r="D197" s="64"/>
      <c r="E197" s="64"/>
      <c r="F197" s="64"/>
      <c r="G197" s="64"/>
    </row>
    <row r="198" spans="1:7" ht="15.5" x14ac:dyDescent="0.35">
      <c r="A198" s="67"/>
      <c r="B198" s="67"/>
      <c r="C198" s="67"/>
      <c r="D198" s="67"/>
      <c r="E198" s="67"/>
      <c r="F198" s="67"/>
      <c r="G198" s="67"/>
    </row>
    <row r="199" spans="1:7" ht="15.5" x14ac:dyDescent="0.35">
      <c r="A199" s="64"/>
      <c r="B199" s="64"/>
      <c r="C199" s="64"/>
      <c r="D199" s="64"/>
      <c r="E199" s="64"/>
      <c r="F199" s="64"/>
      <c r="G199" s="64"/>
    </row>
    <row r="200" spans="1:7" ht="15.5" x14ac:dyDescent="0.35">
      <c r="A200" s="67"/>
      <c r="B200" s="67"/>
      <c r="C200" s="67"/>
      <c r="D200" s="67"/>
      <c r="E200" s="67"/>
      <c r="F200" s="67"/>
      <c r="G200" s="67"/>
    </row>
    <row r="201" spans="1:7" ht="15.5" x14ac:dyDescent="0.35">
      <c r="A201" s="64"/>
      <c r="B201" s="64"/>
      <c r="C201" s="64"/>
      <c r="D201" s="64"/>
      <c r="E201" s="64"/>
      <c r="F201" s="64"/>
      <c r="G201" s="64"/>
    </row>
    <row r="202" spans="1:7" ht="15.5" x14ac:dyDescent="0.35">
      <c r="A202" s="67"/>
      <c r="B202" s="67"/>
      <c r="C202" s="67"/>
      <c r="D202" s="67"/>
      <c r="E202" s="67"/>
      <c r="F202" s="67"/>
      <c r="G202" s="67"/>
    </row>
    <row r="203" spans="1:7" ht="15.5" x14ac:dyDescent="0.35">
      <c r="A203" s="64"/>
      <c r="B203" s="64"/>
      <c r="C203" s="64"/>
      <c r="D203" s="64"/>
      <c r="E203" s="64"/>
      <c r="F203" s="64"/>
      <c r="G203" s="64"/>
    </row>
    <row r="204" spans="1:7" ht="15.5" x14ac:dyDescent="0.35">
      <c r="A204" s="67"/>
      <c r="B204" s="67"/>
      <c r="C204" s="67"/>
      <c r="D204" s="67"/>
      <c r="E204" s="67"/>
      <c r="F204" s="67"/>
      <c r="G204" s="67"/>
    </row>
    <row r="205" spans="1:7" ht="15.5" x14ac:dyDescent="0.35">
      <c r="A205" s="64"/>
      <c r="B205" s="64"/>
      <c r="C205" s="64"/>
      <c r="D205" s="64"/>
      <c r="E205" s="64"/>
      <c r="F205" s="64"/>
      <c r="G205" s="64"/>
    </row>
    <row r="206" spans="1:7" ht="15.5" x14ac:dyDescent="0.35">
      <c r="A206" s="67"/>
      <c r="B206" s="67"/>
      <c r="C206" s="67"/>
      <c r="D206" s="67"/>
      <c r="E206" s="67"/>
      <c r="F206" s="67"/>
      <c r="G206" s="67"/>
    </row>
    <row r="207" spans="1:7" ht="15.5" x14ac:dyDescent="0.35">
      <c r="A207" s="64"/>
      <c r="B207" s="64"/>
      <c r="C207" s="64"/>
      <c r="D207" s="64"/>
      <c r="E207" s="64"/>
      <c r="F207" s="64"/>
      <c r="G207" s="64"/>
    </row>
    <row r="208" spans="1:7" ht="15.5" x14ac:dyDescent="0.35">
      <c r="A208" s="67"/>
      <c r="B208" s="67"/>
      <c r="C208" s="67"/>
      <c r="D208" s="67"/>
      <c r="E208" s="67"/>
      <c r="F208" s="67"/>
      <c r="G208" s="67"/>
    </row>
    <row r="209" spans="1:7" ht="15.5" x14ac:dyDescent="0.35">
      <c r="A209" s="64"/>
      <c r="B209" s="64"/>
      <c r="C209" s="64"/>
      <c r="D209" s="64"/>
      <c r="E209" s="64"/>
      <c r="F209" s="64"/>
      <c r="G209" s="64"/>
    </row>
    <row r="210" spans="1:7" ht="15.5" x14ac:dyDescent="0.35">
      <c r="A210" s="67"/>
      <c r="B210" s="67"/>
      <c r="C210" s="67"/>
      <c r="D210" s="67"/>
      <c r="E210" s="67"/>
      <c r="F210" s="67"/>
      <c r="G210" s="67"/>
    </row>
    <row r="211" spans="1:7" ht="15.5" x14ac:dyDescent="0.35">
      <c r="A211" s="64"/>
      <c r="B211" s="64"/>
      <c r="C211" s="64"/>
      <c r="D211" s="64"/>
      <c r="E211" s="64"/>
      <c r="F211" s="64"/>
      <c r="G211" s="64"/>
    </row>
    <row r="212" spans="1:7" ht="15.5" x14ac:dyDescent="0.35">
      <c r="A212" s="67"/>
      <c r="B212" s="67"/>
      <c r="C212" s="67"/>
      <c r="D212" s="67"/>
      <c r="E212" s="67"/>
      <c r="F212" s="67"/>
      <c r="G212" s="67"/>
    </row>
    <row r="213" spans="1:7" ht="15.5" x14ac:dyDescent="0.35">
      <c r="A213" s="64"/>
      <c r="B213" s="64"/>
      <c r="C213" s="64"/>
      <c r="D213" s="64"/>
      <c r="E213" s="64"/>
      <c r="F213" s="64"/>
      <c r="G213" s="64"/>
    </row>
    <row r="214" spans="1:7" ht="15.5" x14ac:dyDescent="0.35">
      <c r="A214" s="67"/>
      <c r="B214" s="67"/>
      <c r="C214" s="67"/>
      <c r="D214" s="67"/>
      <c r="E214" s="67"/>
      <c r="F214" s="67"/>
      <c r="G214" s="67"/>
    </row>
    <row r="215" spans="1:7" ht="15.5" x14ac:dyDescent="0.35">
      <c r="A215" s="64"/>
      <c r="B215" s="64"/>
      <c r="C215" s="64"/>
      <c r="D215" s="64"/>
      <c r="E215" s="64"/>
      <c r="F215" s="64"/>
      <c r="G215" s="64"/>
    </row>
    <row r="216" spans="1:7" ht="15.5" x14ac:dyDescent="0.35">
      <c r="A216" s="67"/>
      <c r="B216" s="67"/>
      <c r="C216" s="67"/>
      <c r="D216" s="67"/>
      <c r="E216" s="67"/>
      <c r="F216" s="67"/>
      <c r="G216" s="67"/>
    </row>
    <row r="217" spans="1:7" ht="15.5" x14ac:dyDescent="0.35">
      <c r="A217" s="64"/>
      <c r="B217" s="64"/>
      <c r="C217" s="64"/>
      <c r="D217" s="64"/>
      <c r="E217" s="64"/>
      <c r="F217" s="64"/>
      <c r="G217" s="64"/>
    </row>
    <row r="218" spans="1:7" ht="15.5" x14ac:dyDescent="0.35">
      <c r="A218" s="67"/>
      <c r="B218" s="67"/>
      <c r="C218" s="67"/>
      <c r="D218" s="67"/>
      <c r="E218" s="67"/>
      <c r="F218" s="67"/>
      <c r="G218" s="67"/>
    </row>
    <row r="219" spans="1:7" ht="15.5" x14ac:dyDescent="0.35">
      <c r="A219" s="64"/>
      <c r="B219" s="64"/>
      <c r="C219" s="64"/>
      <c r="D219" s="64"/>
      <c r="E219" s="64"/>
      <c r="F219" s="64"/>
      <c r="G219" s="64"/>
    </row>
    <row r="220" spans="1:7" ht="15.5" x14ac:dyDescent="0.35">
      <c r="A220" s="67"/>
      <c r="B220" s="67"/>
      <c r="C220" s="67"/>
      <c r="D220" s="67"/>
      <c r="E220" s="67"/>
      <c r="F220" s="67"/>
      <c r="G220" s="67"/>
    </row>
    <row r="221" spans="1:7" ht="15.5" x14ac:dyDescent="0.35">
      <c r="A221" s="64"/>
      <c r="B221" s="64"/>
      <c r="C221" s="64"/>
      <c r="D221" s="64"/>
      <c r="E221" s="64"/>
      <c r="F221" s="64"/>
      <c r="G221" s="64"/>
    </row>
    <row r="222" spans="1:7" ht="15.5" x14ac:dyDescent="0.35">
      <c r="A222" s="67"/>
      <c r="B222" s="67"/>
      <c r="C222" s="67"/>
      <c r="D222" s="67"/>
      <c r="E222" s="67"/>
      <c r="F222" s="67"/>
      <c r="G222" s="67"/>
    </row>
    <row r="223" spans="1:7" ht="15.5" x14ac:dyDescent="0.35">
      <c r="A223" s="64"/>
      <c r="B223" s="64"/>
      <c r="C223" s="64"/>
      <c r="D223" s="64"/>
      <c r="E223" s="64"/>
      <c r="F223" s="64"/>
      <c r="G223" s="64"/>
    </row>
    <row r="224" spans="1:7" ht="15.5" x14ac:dyDescent="0.35">
      <c r="A224" s="67"/>
      <c r="B224" s="67"/>
      <c r="C224" s="67"/>
      <c r="D224" s="67"/>
      <c r="E224" s="67"/>
      <c r="F224" s="67"/>
      <c r="G224" s="67"/>
    </row>
    <row r="225" spans="1:7" ht="15.5" x14ac:dyDescent="0.35">
      <c r="A225" s="64"/>
      <c r="B225" s="64"/>
      <c r="C225" s="64"/>
      <c r="D225" s="64"/>
      <c r="E225" s="64"/>
      <c r="F225" s="64"/>
      <c r="G225" s="64"/>
    </row>
    <row r="226" spans="1:7" ht="15.5" x14ac:dyDescent="0.35">
      <c r="A226" s="67"/>
      <c r="B226" s="67"/>
      <c r="C226" s="67"/>
      <c r="D226" s="67"/>
      <c r="E226" s="67"/>
      <c r="F226" s="67"/>
      <c r="G226" s="67"/>
    </row>
    <row r="227" spans="1:7" ht="15.5" x14ac:dyDescent="0.35">
      <c r="A227" s="64"/>
      <c r="B227" s="64"/>
      <c r="C227" s="64"/>
      <c r="D227" s="64"/>
      <c r="E227" s="64"/>
      <c r="F227" s="64"/>
      <c r="G227" s="64"/>
    </row>
    <row r="228" spans="1:7" ht="15.5" x14ac:dyDescent="0.35">
      <c r="A228" s="67"/>
      <c r="B228" s="67"/>
      <c r="C228" s="67"/>
      <c r="D228" s="67"/>
      <c r="E228" s="67"/>
      <c r="F228" s="67"/>
      <c r="G228" s="67"/>
    </row>
    <row r="229" spans="1:7" ht="15.5" x14ac:dyDescent="0.35">
      <c r="A229" s="64"/>
      <c r="B229" s="64"/>
      <c r="C229" s="64"/>
      <c r="D229" s="64"/>
      <c r="E229" s="64"/>
      <c r="F229" s="64"/>
      <c r="G229" s="64"/>
    </row>
    <row r="230" spans="1:7" ht="15.5" x14ac:dyDescent="0.35">
      <c r="A230" s="67"/>
      <c r="B230" s="67"/>
      <c r="C230" s="67"/>
      <c r="D230" s="67"/>
      <c r="E230" s="67"/>
      <c r="F230" s="67"/>
      <c r="G230" s="67"/>
    </row>
    <row r="231" spans="1:7" ht="15.5" x14ac:dyDescent="0.35">
      <c r="A231" s="64"/>
      <c r="B231" s="64"/>
      <c r="C231" s="64"/>
      <c r="D231" s="64"/>
      <c r="E231" s="64"/>
      <c r="F231" s="64"/>
      <c r="G231" s="64"/>
    </row>
    <row r="232" spans="1:7" ht="15.5" x14ac:dyDescent="0.35">
      <c r="A232" s="67"/>
      <c r="B232" s="67"/>
      <c r="C232" s="67"/>
      <c r="D232" s="67"/>
      <c r="E232" s="67"/>
      <c r="F232" s="67"/>
      <c r="G232" s="67"/>
    </row>
    <row r="233" spans="1:7" ht="15.5" x14ac:dyDescent="0.35">
      <c r="A233" s="64"/>
      <c r="B233" s="64"/>
      <c r="C233" s="64"/>
      <c r="D233" s="64"/>
      <c r="E233" s="64"/>
      <c r="F233" s="64"/>
      <c r="G233" s="64"/>
    </row>
    <row r="234" spans="1:7" ht="15.5" x14ac:dyDescent="0.35">
      <c r="A234" s="67"/>
      <c r="B234" s="67"/>
      <c r="C234" s="67"/>
      <c r="D234" s="67"/>
      <c r="E234" s="67"/>
      <c r="F234" s="67"/>
      <c r="G234" s="67"/>
    </row>
    <row r="235" spans="1:7" ht="15.5" x14ac:dyDescent="0.35">
      <c r="A235" s="64"/>
      <c r="B235" s="64"/>
      <c r="C235" s="64"/>
      <c r="D235" s="64"/>
      <c r="E235" s="64"/>
      <c r="F235" s="64"/>
      <c r="G235" s="64"/>
    </row>
    <row r="236" spans="1:7" ht="15.5" x14ac:dyDescent="0.35">
      <c r="A236" s="67"/>
      <c r="B236" s="67"/>
      <c r="C236" s="67"/>
      <c r="D236" s="67"/>
      <c r="E236" s="67"/>
      <c r="F236" s="67"/>
      <c r="G236" s="67"/>
    </row>
    <row r="237" spans="1:7" ht="15.5" x14ac:dyDescent="0.35">
      <c r="A237" s="64"/>
      <c r="B237" s="64"/>
      <c r="C237" s="64"/>
      <c r="D237" s="64"/>
      <c r="E237" s="64"/>
      <c r="F237" s="64"/>
      <c r="G237" s="64"/>
    </row>
    <row r="238" spans="1:7" ht="15.5" x14ac:dyDescent="0.35">
      <c r="A238" s="67"/>
      <c r="B238" s="67"/>
      <c r="C238" s="67"/>
      <c r="D238" s="67"/>
      <c r="E238" s="67"/>
      <c r="F238" s="67"/>
      <c r="G238" s="67"/>
    </row>
    <row r="239" spans="1:7" ht="15.5" x14ac:dyDescent="0.35">
      <c r="A239" s="64"/>
      <c r="B239" s="64"/>
      <c r="C239" s="64"/>
      <c r="D239" s="64"/>
      <c r="E239" s="64"/>
      <c r="F239" s="64"/>
      <c r="G239" s="64"/>
    </row>
    <row r="240" spans="1:7" ht="15.5" x14ac:dyDescent="0.35">
      <c r="A240" s="67"/>
      <c r="B240" s="67"/>
      <c r="C240" s="67"/>
      <c r="D240" s="67"/>
      <c r="E240" s="67"/>
      <c r="F240" s="67"/>
      <c r="G240" s="67"/>
    </row>
    <row r="241" spans="1:7" ht="15.5" x14ac:dyDescent="0.35">
      <c r="A241" s="64"/>
      <c r="B241" s="64"/>
      <c r="C241" s="64"/>
      <c r="D241" s="64"/>
      <c r="E241" s="64"/>
      <c r="F241" s="64"/>
      <c r="G241" s="64"/>
    </row>
    <row r="242" spans="1:7" ht="15.5" x14ac:dyDescent="0.35">
      <c r="A242" s="67"/>
      <c r="B242" s="67"/>
      <c r="C242" s="67"/>
      <c r="D242" s="67"/>
      <c r="E242" s="67"/>
      <c r="F242" s="67"/>
      <c r="G242" s="67"/>
    </row>
    <row r="243" spans="1:7" ht="15.5" x14ac:dyDescent="0.35">
      <c r="A243" s="64"/>
      <c r="B243" s="64"/>
      <c r="C243" s="64"/>
      <c r="D243" s="64"/>
      <c r="E243" s="64"/>
      <c r="F243" s="64"/>
      <c r="G243" s="64"/>
    </row>
    <row r="244" spans="1:7" ht="15.5" x14ac:dyDescent="0.35">
      <c r="A244" s="67"/>
      <c r="B244" s="67"/>
      <c r="C244" s="67"/>
      <c r="D244" s="67"/>
      <c r="E244" s="67"/>
      <c r="F244" s="67"/>
      <c r="G244" s="67"/>
    </row>
    <row r="245" spans="1:7" ht="15.5" x14ac:dyDescent="0.35">
      <c r="A245" s="64"/>
      <c r="B245" s="64"/>
      <c r="C245" s="64"/>
      <c r="D245" s="64"/>
      <c r="E245" s="64"/>
      <c r="F245" s="64"/>
      <c r="G245" s="64"/>
    </row>
    <row r="246" spans="1:7" ht="15.5" x14ac:dyDescent="0.35">
      <c r="A246" s="67"/>
      <c r="B246" s="67"/>
      <c r="C246" s="67"/>
      <c r="D246" s="67"/>
      <c r="E246" s="67"/>
      <c r="F246" s="67"/>
      <c r="G246" s="67"/>
    </row>
    <row r="247" spans="1:7" ht="15.5" x14ac:dyDescent="0.35">
      <c r="A247" s="64"/>
      <c r="B247" s="64"/>
      <c r="C247" s="64"/>
      <c r="D247" s="64"/>
      <c r="E247" s="64"/>
      <c r="F247" s="64"/>
      <c r="G247" s="64"/>
    </row>
    <row r="248" spans="1:7" ht="15.5" x14ac:dyDescent="0.35">
      <c r="A248" s="67"/>
      <c r="B248" s="67"/>
      <c r="C248" s="67"/>
      <c r="D248" s="67"/>
      <c r="E248" s="67"/>
      <c r="F248" s="67"/>
      <c r="G248" s="67"/>
    </row>
    <row r="249" spans="1:7" ht="15.5" x14ac:dyDescent="0.35">
      <c r="A249" s="64"/>
      <c r="B249" s="64"/>
      <c r="C249" s="64"/>
      <c r="D249" s="64"/>
      <c r="E249" s="64"/>
      <c r="F249" s="64"/>
      <c r="G249" s="64"/>
    </row>
    <row r="250" spans="1:7" ht="15.5" x14ac:dyDescent="0.35">
      <c r="A250" s="67"/>
      <c r="B250" s="67"/>
      <c r="C250" s="67"/>
      <c r="D250" s="67"/>
      <c r="E250" s="67"/>
      <c r="F250" s="67"/>
      <c r="G250" s="67"/>
    </row>
    <row r="251" spans="1:7" ht="15.5" x14ac:dyDescent="0.35">
      <c r="A251" s="64"/>
      <c r="B251" s="64"/>
      <c r="C251" s="64"/>
      <c r="D251" s="64"/>
      <c r="E251" s="64"/>
      <c r="F251" s="64"/>
      <c r="G251" s="64"/>
    </row>
    <row r="252" spans="1:7" ht="15.5" x14ac:dyDescent="0.35">
      <c r="A252" s="67"/>
      <c r="B252" s="67"/>
      <c r="C252" s="67"/>
      <c r="D252" s="67"/>
      <c r="E252" s="67"/>
      <c r="F252" s="67"/>
      <c r="G252" s="67"/>
    </row>
    <row r="253" spans="1:7" ht="15.5" x14ac:dyDescent="0.35">
      <c r="A253" s="64"/>
      <c r="B253" s="64"/>
      <c r="C253" s="64"/>
      <c r="D253" s="64"/>
      <c r="E253" s="64"/>
      <c r="F253" s="64"/>
      <c r="G253" s="64"/>
    </row>
    <row r="254" spans="1:7" ht="15.5" x14ac:dyDescent="0.35">
      <c r="A254" s="67"/>
      <c r="B254" s="67"/>
      <c r="C254" s="67"/>
      <c r="D254" s="67"/>
      <c r="E254" s="67"/>
      <c r="F254" s="67"/>
      <c r="G254" s="67"/>
    </row>
    <row r="255" spans="1:7" ht="15.5" x14ac:dyDescent="0.35">
      <c r="A255" s="64"/>
      <c r="B255" s="64"/>
      <c r="C255" s="64"/>
      <c r="D255" s="64"/>
      <c r="E255" s="64"/>
      <c r="F255" s="64"/>
      <c r="G255" s="64"/>
    </row>
    <row r="256" spans="1:7" ht="15.5" x14ac:dyDescent="0.35">
      <c r="A256" s="67"/>
      <c r="B256" s="67"/>
      <c r="C256" s="67"/>
      <c r="D256" s="67"/>
      <c r="E256" s="67"/>
      <c r="F256" s="67"/>
      <c r="G256" s="67"/>
    </row>
    <row r="257" spans="1:7" ht="15.5" x14ac:dyDescent="0.35">
      <c r="A257" s="64"/>
      <c r="B257" s="64"/>
      <c r="C257" s="64"/>
      <c r="D257" s="64"/>
      <c r="E257" s="64"/>
      <c r="F257" s="64"/>
      <c r="G257" s="64"/>
    </row>
    <row r="258" spans="1:7" ht="15.5" x14ac:dyDescent="0.35">
      <c r="A258" s="67"/>
      <c r="B258" s="67"/>
      <c r="C258" s="67"/>
      <c r="D258" s="67"/>
      <c r="E258" s="67"/>
      <c r="F258" s="67"/>
      <c r="G258" s="67"/>
    </row>
    <row r="259" spans="1:7" ht="15.5" x14ac:dyDescent="0.35">
      <c r="A259" s="64"/>
      <c r="B259" s="64"/>
      <c r="C259" s="64"/>
      <c r="D259" s="64"/>
      <c r="E259" s="64"/>
      <c r="F259" s="64"/>
      <c r="G259" s="64"/>
    </row>
    <row r="260" spans="1:7" ht="15.5" x14ac:dyDescent="0.35">
      <c r="A260" s="67"/>
      <c r="B260" s="67"/>
      <c r="C260" s="67"/>
      <c r="D260" s="67"/>
      <c r="E260" s="67"/>
      <c r="F260" s="67"/>
      <c r="G260" s="67"/>
    </row>
    <row r="261" spans="1:7" ht="15.5" x14ac:dyDescent="0.35">
      <c r="A261" s="64"/>
      <c r="B261" s="64"/>
      <c r="C261" s="64"/>
      <c r="D261" s="64"/>
      <c r="E261" s="64"/>
      <c r="F261" s="64"/>
      <c r="G261" s="64"/>
    </row>
    <row r="262" spans="1:7" ht="15.5" x14ac:dyDescent="0.35">
      <c r="A262" s="67"/>
      <c r="B262" s="67"/>
      <c r="C262" s="67"/>
      <c r="D262" s="67"/>
      <c r="E262" s="67"/>
      <c r="F262" s="67"/>
      <c r="G262" s="67"/>
    </row>
    <row r="263" spans="1:7" ht="15.5" x14ac:dyDescent="0.35">
      <c r="A263" s="64"/>
      <c r="B263" s="64"/>
      <c r="C263" s="64"/>
      <c r="D263" s="64"/>
      <c r="E263" s="64"/>
      <c r="F263" s="64"/>
      <c r="G263" s="64"/>
    </row>
    <row r="264" spans="1:7" ht="15.5" x14ac:dyDescent="0.35">
      <c r="A264" s="67"/>
      <c r="B264" s="67"/>
      <c r="C264" s="67"/>
      <c r="D264" s="67"/>
      <c r="E264" s="67"/>
      <c r="F264" s="67"/>
      <c r="G264" s="67"/>
    </row>
    <row r="265" spans="1:7" ht="15.5" x14ac:dyDescent="0.35">
      <c r="A265" s="64"/>
      <c r="B265" s="64"/>
      <c r="C265" s="64"/>
      <c r="D265" s="64"/>
      <c r="E265" s="64"/>
      <c r="F265" s="64"/>
      <c r="G265" s="64"/>
    </row>
    <row r="266" spans="1:7" ht="15.5" x14ac:dyDescent="0.35">
      <c r="A266" s="67"/>
      <c r="B266" s="67"/>
      <c r="C266" s="67"/>
      <c r="D266" s="67"/>
      <c r="E266" s="67"/>
      <c r="F266" s="67"/>
      <c r="G266" s="67"/>
    </row>
    <row r="267" spans="1:7" ht="15.5" x14ac:dyDescent="0.35">
      <c r="A267" s="64"/>
      <c r="B267" s="64"/>
      <c r="C267" s="64"/>
      <c r="D267" s="64"/>
      <c r="E267" s="64"/>
      <c r="F267" s="64"/>
      <c r="G267" s="64"/>
    </row>
    <row r="268" spans="1:7" ht="15.5" x14ac:dyDescent="0.35">
      <c r="A268" s="67"/>
      <c r="B268" s="67"/>
      <c r="C268" s="67"/>
      <c r="D268" s="67"/>
      <c r="E268" s="67"/>
      <c r="F268" s="67"/>
      <c r="G268" s="67"/>
    </row>
    <row r="269" spans="1:7" ht="15.5" x14ac:dyDescent="0.35">
      <c r="A269" s="64"/>
      <c r="B269" s="64"/>
      <c r="C269" s="64"/>
      <c r="D269" s="64"/>
      <c r="E269" s="64"/>
      <c r="F269" s="64"/>
      <c r="G269" s="64"/>
    </row>
    <row r="270" spans="1:7" ht="15.5" x14ac:dyDescent="0.35">
      <c r="A270" s="67"/>
      <c r="B270" s="67"/>
      <c r="C270" s="67"/>
      <c r="D270" s="67"/>
      <c r="E270" s="67"/>
      <c r="F270" s="67"/>
      <c r="G270" s="67"/>
    </row>
    <row r="271" spans="1:7" ht="15.5" x14ac:dyDescent="0.35">
      <c r="A271" s="64"/>
      <c r="B271" s="64"/>
      <c r="C271" s="64"/>
      <c r="D271" s="64"/>
      <c r="E271" s="64"/>
      <c r="F271" s="64"/>
      <c r="G271" s="64"/>
    </row>
    <row r="272" spans="1:7" ht="15.5" x14ac:dyDescent="0.35">
      <c r="A272" s="67"/>
      <c r="B272" s="67"/>
      <c r="C272" s="67"/>
      <c r="D272" s="67"/>
      <c r="E272" s="67"/>
      <c r="F272" s="67"/>
      <c r="G272" s="67"/>
    </row>
    <row r="273" spans="1:7" ht="15.5" x14ac:dyDescent="0.35">
      <c r="A273" s="64"/>
      <c r="B273" s="64"/>
      <c r="C273" s="64"/>
      <c r="D273" s="64"/>
      <c r="E273" s="64"/>
      <c r="F273" s="64"/>
      <c r="G273" s="64"/>
    </row>
    <row r="274" spans="1:7" ht="15.5" x14ac:dyDescent="0.35">
      <c r="A274" s="67"/>
      <c r="B274" s="67"/>
      <c r="C274" s="67"/>
      <c r="D274" s="67"/>
      <c r="E274" s="67"/>
      <c r="F274" s="67"/>
      <c r="G274" s="67"/>
    </row>
    <row r="275" spans="1:7" ht="15.5" x14ac:dyDescent="0.35">
      <c r="A275" s="64"/>
      <c r="B275" s="64"/>
      <c r="C275" s="64"/>
      <c r="D275" s="64"/>
      <c r="E275" s="64"/>
      <c r="F275" s="64"/>
      <c r="G275" s="64"/>
    </row>
    <row r="276" spans="1:7" ht="15.5" x14ac:dyDescent="0.35">
      <c r="A276" s="67"/>
      <c r="B276" s="67"/>
      <c r="C276" s="67"/>
      <c r="D276" s="67"/>
      <c r="E276" s="67"/>
      <c r="F276" s="67"/>
      <c r="G276" s="67"/>
    </row>
    <row r="277" spans="1:7" ht="15.5" x14ac:dyDescent="0.35">
      <c r="A277" s="64"/>
      <c r="B277" s="64"/>
      <c r="C277" s="64"/>
      <c r="D277" s="64"/>
      <c r="E277" s="64"/>
      <c r="F277" s="64"/>
      <c r="G277" s="64"/>
    </row>
    <row r="278" spans="1:7" ht="15.5" x14ac:dyDescent="0.35">
      <c r="A278" s="67"/>
      <c r="B278" s="67"/>
      <c r="C278" s="67"/>
      <c r="D278" s="67"/>
      <c r="E278" s="67"/>
      <c r="F278" s="67"/>
      <c r="G278" s="67"/>
    </row>
    <row r="279" spans="1:7" ht="15.5" x14ac:dyDescent="0.35">
      <c r="A279" s="64"/>
      <c r="B279" s="64"/>
      <c r="C279" s="64"/>
      <c r="D279" s="64"/>
      <c r="E279" s="64"/>
      <c r="F279" s="64"/>
      <c r="G279" s="64"/>
    </row>
    <row r="280" spans="1:7" ht="15.5" x14ac:dyDescent="0.35">
      <c r="A280" s="67"/>
      <c r="B280" s="67"/>
      <c r="C280" s="67"/>
      <c r="D280" s="67"/>
      <c r="E280" s="67"/>
      <c r="F280" s="67"/>
      <c r="G280" s="67"/>
    </row>
    <row r="281" spans="1:7" ht="15.5" x14ac:dyDescent="0.35">
      <c r="A281" s="64"/>
      <c r="B281" s="64"/>
      <c r="C281" s="64"/>
      <c r="D281" s="64"/>
      <c r="E281" s="64"/>
      <c r="F281" s="64"/>
      <c r="G281" s="64"/>
    </row>
    <row r="282" spans="1:7" ht="15.5" x14ac:dyDescent="0.35">
      <c r="A282" s="67"/>
      <c r="B282" s="67"/>
      <c r="C282" s="67"/>
      <c r="D282" s="67"/>
      <c r="E282" s="67"/>
      <c r="F282" s="67"/>
      <c r="G282" s="67"/>
    </row>
    <row r="283" spans="1:7" ht="15.5" x14ac:dyDescent="0.35">
      <c r="A283" s="64"/>
      <c r="B283" s="64"/>
      <c r="C283" s="64"/>
      <c r="D283" s="64"/>
      <c r="E283" s="64"/>
      <c r="F283" s="64"/>
      <c r="G283" s="64"/>
    </row>
    <row r="284" spans="1:7" ht="15.5" x14ac:dyDescent="0.35">
      <c r="A284" s="67"/>
      <c r="B284" s="67"/>
      <c r="C284" s="67"/>
      <c r="D284" s="67"/>
      <c r="E284" s="67"/>
      <c r="F284" s="67"/>
      <c r="G284" s="67"/>
    </row>
    <row r="285" spans="1:7" ht="15.5" x14ac:dyDescent="0.35">
      <c r="A285" s="64"/>
      <c r="B285" s="64"/>
      <c r="C285" s="64"/>
      <c r="D285" s="64"/>
      <c r="E285" s="64"/>
      <c r="F285" s="64"/>
      <c r="G285" s="64"/>
    </row>
    <row r="286" spans="1:7" ht="15.5" x14ac:dyDescent="0.35">
      <c r="A286" s="67"/>
      <c r="B286" s="67"/>
      <c r="C286" s="67"/>
      <c r="D286" s="67"/>
      <c r="E286" s="67"/>
      <c r="F286" s="67"/>
      <c r="G286" s="67"/>
    </row>
    <row r="287" spans="1:7" ht="15.5" x14ac:dyDescent="0.35">
      <c r="A287" s="64"/>
      <c r="B287" s="64"/>
      <c r="C287" s="64"/>
      <c r="D287" s="64"/>
      <c r="E287" s="64"/>
      <c r="F287" s="64"/>
      <c r="G287" s="64"/>
    </row>
    <row r="288" spans="1:7" ht="15.5" x14ac:dyDescent="0.35">
      <c r="A288" s="67"/>
      <c r="B288" s="67"/>
      <c r="C288" s="67"/>
      <c r="D288" s="67"/>
      <c r="E288" s="67"/>
      <c r="F288" s="67"/>
      <c r="G288" s="67"/>
    </row>
    <row r="289" spans="1:7" ht="15.5" x14ac:dyDescent="0.35">
      <c r="A289" s="64"/>
      <c r="B289" s="64"/>
      <c r="C289" s="64"/>
      <c r="D289" s="64"/>
      <c r="E289" s="64"/>
      <c r="F289" s="64"/>
      <c r="G289" s="64"/>
    </row>
    <row r="290" spans="1:7" ht="15.5" x14ac:dyDescent="0.35">
      <c r="A290" s="67"/>
      <c r="B290" s="67"/>
      <c r="C290" s="67"/>
      <c r="D290" s="67"/>
      <c r="E290" s="67"/>
      <c r="F290" s="67"/>
      <c r="G290" s="67"/>
    </row>
    <row r="291" spans="1:7" ht="15.5" x14ac:dyDescent="0.35">
      <c r="A291" s="64"/>
      <c r="B291" s="64"/>
      <c r="C291" s="64"/>
      <c r="D291" s="64"/>
      <c r="E291" s="64"/>
      <c r="F291" s="64"/>
      <c r="G291" s="64"/>
    </row>
    <row r="292" spans="1:7" ht="15.5" x14ac:dyDescent="0.35">
      <c r="A292" s="67"/>
      <c r="B292" s="67"/>
      <c r="C292" s="67"/>
      <c r="D292" s="67"/>
      <c r="E292" s="67"/>
      <c r="F292" s="67"/>
      <c r="G292" s="67"/>
    </row>
    <row r="293" spans="1:7" ht="15.5" x14ac:dyDescent="0.35">
      <c r="A293" s="64"/>
      <c r="B293" s="64"/>
      <c r="C293" s="64"/>
      <c r="D293" s="64"/>
      <c r="E293" s="64"/>
      <c r="F293" s="64"/>
      <c r="G293" s="64"/>
    </row>
    <row r="294" spans="1:7" ht="15.5" x14ac:dyDescent="0.35">
      <c r="A294" s="67"/>
      <c r="B294" s="67"/>
      <c r="C294" s="67"/>
      <c r="D294" s="67"/>
      <c r="E294" s="67"/>
      <c r="F294" s="67"/>
      <c r="G294" s="67"/>
    </row>
    <row r="295" spans="1:7" ht="15.5" x14ac:dyDescent="0.35">
      <c r="A295" s="64"/>
      <c r="B295" s="64"/>
      <c r="C295" s="64"/>
      <c r="D295" s="64"/>
      <c r="E295" s="64"/>
      <c r="F295" s="64"/>
      <c r="G295" s="64"/>
    </row>
    <row r="296" spans="1:7" ht="15.5" x14ac:dyDescent="0.35">
      <c r="A296" s="67"/>
      <c r="B296" s="67"/>
      <c r="C296" s="67"/>
      <c r="D296" s="67"/>
      <c r="E296" s="67"/>
      <c r="F296" s="67"/>
      <c r="G296" s="67"/>
    </row>
    <row r="297" spans="1:7" ht="15.5" x14ac:dyDescent="0.35">
      <c r="A297" s="64"/>
      <c r="B297" s="64"/>
      <c r="C297" s="64"/>
      <c r="D297" s="64"/>
      <c r="E297" s="64"/>
      <c r="F297" s="64"/>
      <c r="G297" s="64"/>
    </row>
    <row r="298" spans="1:7" ht="15.5" x14ac:dyDescent="0.35">
      <c r="A298" s="67"/>
      <c r="B298" s="67"/>
      <c r="C298" s="67"/>
      <c r="D298" s="67"/>
      <c r="E298" s="67"/>
      <c r="F298" s="67"/>
      <c r="G298" s="67"/>
    </row>
    <row r="299" spans="1:7" ht="15.5" x14ac:dyDescent="0.35">
      <c r="A299" s="64"/>
      <c r="B299" s="64"/>
      <c r="C299" s="64"/>
      <c r="D299" s="64"/>
      <c r="E299" s="64"/>
      <c r="F299" s="64"/>
      <c r="G299" s="64"/>
    </row>
    <row r="300" spans="1:7" ht="15.5" x14ac:dyDescent="0.35">
      <c r="A300" s="67"/>
      <c r="B300" s="67"/>
      <c r="C300" s="67"/>
      <c r="D300" s="67"/>
      <c r="E300" s="67"/>
      <c r="F300" s="67"/>
      <c r="G300" s="67"/>
    </row>
    <row r="301" spans="1:7" ht="15.5" x14ac:dyDescent="0.35">
      <c r="A301" s="64"/>
      <c r="B301" s="64"/>
      <c r="C301" s="64"/>
      <c r="D301" s="64"/>
      <c r="E301" s="64"/>
      <c r="F301" s="64"/>
      <c r="G301" s="64"/>
    </row>
    <row r="302" spans="1:7" ht="15.5" x14ac:dyDescent="0.35">
      <c r="A302" s="67"/>
      <c r="B302" s="67"/>
      <c r="C302" s="67"/>
      <c r="D302" s="67"/>
      <c r="E302" s="67"/>
      <c r="F302" s="67"/>
      <c r="G302" s="67"/>
    </row>
    <row r="303" spans="1:7" ht="15.5" x14ac:dyDescent="0.35">
      <c r="A303" s="64"/>
      <c r="B303" s="64"/>
      <c r="C303" s="64"/>
      <c r="D303" s="64"/>
      <c r="E303" s="64"/>
      <c r="F303" s="64"/>
      <c r="G303" s="64"/>
    </row>
    <row r="304" spans="1:7" ht="15.5" x14ac:dyDescent="0.35">
      <c r="A304" s="67"/>
      <c r="B304" s="67"/>
      <c r="C304" s="67"/>
      <c r="D304" s="67"/>
      <c r="E304" s="67"/>
      <c r="F304" s="67"/>
      <c r="G304" s="67"/>
    </row>
    <row r="305" spans="1:7" ht="15.5" x14ac:dyDescent="0.35">
      <c r="A305" s="64"/>
      <c r="B305" s="64"/>
      <c r="C305" s="64"/>
      <c r="D305" s="64"/>
      <c r="E305" s="64"/>
      <c r="F305" s="64"/>
      <c r="G305" s="64"/>
    </row>
    <row r="306" spans="1:7" ht="15.5" x14ac:dyDescent="0.35">
      <c r="A306" s="67"/>
      <c r="B306" s="67"/>
      <c r="C306" s="67"/>
      <c r="D306" s="67"/>
      <c r="E306" s="67"/>
      <c r="F306" s="67"/>
      <c r="G306" s="67"/>
    </row>
    <row r="307" spans="1:7" ht="15.5" x14ac:dyDescent="0.35">
      <c r="A307" s="64"/>
      <c r="B307" s="64"/>
      <c r="C307" s="64"/>
      <c r="D307" s="64"/>
      <c r="E307" s="64"/>
      <c r="F307" s="64"/>
      <c r="G307" s="64"/>
    </row>
    <row r="308" spans="1:7" ht="15.5" x14ac:dyDescent="0.35">
      <c r="A308" s="67"/>
      <c r="B308" s="67"/>
      <c r="C308" s="67"/>
      <c r="D308" s="67"/>
      <c r="E308" s="67"/>
      <c r="F308" s="67"/>
      <c r="G308" s="67"/>
    </row>
    <row r="309" spans="1:7" ht="15.5" x14ac:dyDescent="0.35">
      <c r="A309" s="64"/>
      <c r="B309" s="64"/>
      <c r="C309" s="64"/>
      <c r="D309" s="64"/>
      <c r="E309" s="64"/>
      <c r="F309" s="64"/>
      <c r="G309" s="64"/>
    </row>
    <row r="310" spans="1:7" ht="15.5" x14ac:dyDescent="0.35">
      <c r="A310" s="67"/>
      <c r="B310" s="67"/>
      <c r="C310" s="67"/>
      <c r="D310" s="67"/>
      <c r="E310" s="67"/>
      <c r="F310" s="67"/>
      <c r="G310" s="67"/>
    </row>
    <row r="311" spans="1:7" ht="15.5" x14ac:dyDescent="0.35">
      <c r="A311" s="64"/>
      <c r="B311" s="64"/>
      <c r="C311" s="64"/>
      <c r="D311" s="64"/>
      <c r="E311" s="64"/>
      <c r="F311" s="64"/>
      <c r="G311" s="64"/>
    </row>
    <row r="312" spans="1:7" ht="15.5" x14ac:dyDescent="0.35">
      <c r="A312" s="67"/>
      <c r="B312" s="67"/>
      <c r="C312" s="67"/>
      <c r="D312" s="67"/>
      <c r="E312" s="67"/>
      <c r="F312" s="67"/>
      <c r="G312" s="67"/>
    </row>
    <row r="313" spans="1:7" ht="15.5" x14ac:dyDescent="0.35">
      <c r="A313" s="64"/>
      <c r="B313" s="64"/>
      <c r="C313" s="64"/>
      <c r="D313" s="64"/>
      <c r="E313" s="64"/>
      <c r="F313" s="64"/>
      <c r="G313" s="64"/>
    </row>
    <row r="314" spans="1:7" ht="15.5" x14ac:dyDescent="0.35">
      <c r="A314" s="67"/>
      <c r="B314" s="67"/>
      <c r="C314" s="67"/>
      <c r="D314" s="67"/>
      <c r="E314" s="67"/>
      <c r="F314" s="67"/>
      <c r="G314" s="67"/>
    </row>
    <row r="315" spans="1:7" ht="15.5" x14ac:dyDescent="0.35">
      <c r="A315" s="64"/>
      <c r="B315" s="64"/>
      <c r="C315" s="64"/>
      <c r="D315" s="64"/>
      <c r="E315" s="64"/>
      <c r="F315" s="64"/>
      <c r="G315" s="64"/>
    </row>
    <row r="316" spans="1:7" ht="15.5" x14ac:dyDescent="0.35">
      <c r="A316" s="67"/>
      <c r="B316" s="67"/>
      <c r="C316" s="67"/>
      <c r="D316" s="67"/>
      <c r="E316" s="67"/>
      <c r="F316" s="67"/>
      <c r="G316" s="67"/>
    </row>
    <row r="317" spans="1:7" ht="15.5" x14ac:dyDescent="0.35">
      <c r="A317" s="64"/>
      <c r="B317" s="64"/>
      <c r="C317" s="64"/>
      <c r="D317" s="64"/>
      <c r="E317" s="64"/>
      <c r="F317" s="64"/>
      <c r="G317" s="64"/>
    </row>
    <row r="318" spans="1:7" ht="15.5" x14ac:dyDescent="0.35">
      <c r="A318" s="67"/>
      <c r="B318" s="67"/>
      <c r="C318" s="67"/>
      <c r="D318" s="67"/>
      <c r="E318" s="67"/>
      <c r="F318" s="67"/>
      <c r="G318" s="67"/>
    </row>
    <row r="319" spans="1:7" ht="15.5" x14ac:dyDescent="0.35">
      <c r="A319" s="64"/>
      <c r="B319" s="64"/>
      <c r="C319" s="64"/>
      <c r="D319" s="64"/>
      <c r="E319" s="64"/>
      <c r="F319" s="64"/>
      <c r="G319" s="64"/>
    </row>
    <row r="320" spans="1:7" ht="15.5" x14ac:dyDescent="0.35">
      <c r="A320" s="67"/>
      <c r="B320" s="67"/>
      <c r="C320" s="67"/>
      <c r="D320" s="67"/>
      <c r="E320" s="67"/>
      <c r="F320" s="67"/>
      <c r="G320" s="67"/>
    </row>
    <row r="321" spans="1:7" ht="15.5" x14ac:dyDescent="0.35">
      <c r="A321" s="64"/>
      <c r="B321" s="64"/>
      <c r="C321" s="64"/>
      <c r="D321" s="64"/>
      <c r="E321" s="64"/>
      <c r="F321" s="64"/>
      <c r="G321" s="64"/>
    </row>
    <row r="322" spans="1:7" ht="15.5" x14ac:dyDescent="0.35">
      <c r="A322" s="67"/>
      <c r="B322" s="67"/>
      <c r="C322" s="67"/>
      <c r="D322" s="67"/>
      <c r="E322" s="67"/>
      <c r="F322" s="67"/>
      <c r="G322" s="67"/>
    </row>
    <row r="323" spans="1:7" ht="15.5" x14ac:dyDescent="0.35">
      <c r="A323" s="64"/>
      <c r="B323" s="64"/>
      <c r="C323" s="64"/>
      <c r="D323" s="64"/>
      <c r="E323" s="64"/>
      <c r="F323" s="64"/>
      <c r="G323" s="64"/>
    </row>
    <row r="324" spans="1:7" ht="15.5" x14ac:dyDescent="0.35">
      <c r="A324" s="67"/>
      <c r="B324" s="67"/>
      <c r="C324" s="67"/>
      <c r="D324" s="67"/>
      <c r="E324" s="67"/>
      <c r="F324" s="67"/>
      <c r="G324" s="67"/>
    </row>
    <row r="325" spans="1:7" ht="15.5" x14ac:dyDescent="0.35">
      <c r="A325" s="64"/>
      <c r="B325" s="64"/>
      <c r="C325" s="64"/>
      <c r="D325" s="64"/>
      <c r="E325" s="64"/>
      <c r="F325" s="64"/>
      <c r="G325" s="64"/>
    </row>
    <row r="326" spans="1:7" ht="15.5" x14ac:dyDescent="0.35">
      <c r="A326" s="67"/>
      <c r="B326" s="67"/>
      <c r="C326" s="67"/>
      <c r="D326" s="67"/>
      <c r="E326" s="67"/>
      <c r="F326" s="67"/>
      <c r="G326" s="67"/>
    </row>
    <row r="327" spans="1:7" ht="15.5" x14ac:dyDescent="0.35">
      <c r="A327" s="64"/>
      <c r="B327" s="64"/>
      <c r="C327" s="64"/>
      <c r="D327" s="64"/>
      <c r="E327" s="64"/>
      <c r="F327" s="64"/>
      <c r="G327" s="64"/>
    </row>
    <row r="328" spans="1:7" ht="15.5" x14ac:dyDescent="0.35">
      <c r="A328" s="67"/>
      <c r="B328" s="67"/>
      <c r="C328" s="67"/>
      <c r="D328" s="67"/>
      <c r="E328" s="67"/>
      <c r="F328" s="67"/>
      <c r="G328" s="67"/>
    </row>
    <row r="329" spans="1:7" ht="15.5" x14ac:dyDescent="0.35">
      <c r="A329" s="64"/>
      <c r="B329" s="64"/>
      <c r="C329" s="64"/>
      <c r="D329" s="64"/>
      <c r="E329" s="64"/>
      <c r="F329" s="64"/>
      <c r="G329" s="64"/>
    </row>
    <row r="330" spans="1:7" ht="15.5" x14ac:dyDescent="0.35">
      <c r="A330" s="67"/>
      <c r="B330" s="67"/>
      <c r="C330" s="67"/>
      <c r="D330" s="67"/>
      <c r="E330" s="67"/>
      <c r="F330" s="67"/>
      <c r="G330" s="67"/>
    </row>
    <row r="331" spans="1:7" ht="15.5" x14ac:dyDescent="0.35">
      <c r="A331" s="64"/>
      <c r="B331" s="64"/>
      <c r="C331" s="64"/>
      <c r="D331" s="64"/>
      <c r="E331" s="64"/>
      <c r="F331" s="64"/>
      <c r="G331" s="64"/>
    </row>
    <row r="332" spans="1:7" ht="15.5" x14ac:dyDescent="0.35">
      <c r="A332" s="67"/>
      <c r="B332" s="67"/>
      <c r="C332" s="67"/>
      <c r="D332" s="67"/>
      <c r="E332" s="67"/>
      <c r="F332" s="67"/>
      <c r="G332" s="67"/>
    </row>
    <row r="333" spans="1:7" ht="15.5" x14ac:dyDescent="0.35">
      <c r="A333" s="64"/>
      <c r="B333" s="64"/>
      <c r="C333" s="64"/>
      <c r="D333" s="64"/>
      <c r="E333" s="64"/>
      <c r="F333" s="64"/>
      <c r="G333" s="64"/>
    </row>
    <row r="334" spans="1:7" ht="15.5" x14ac:dyDescent="0.35">
      <c r="A334" s="67"/>
      <c r="B334" s="67"/>
      <c r="C334" s="67"/>
      <c r="D334" s="67"/>
      <c r="E334" s="67"/>
      <c r="F334" s="67"/>
      <c r="G334" s="67"/>
    </row>
    <row r="335" spans="1:7" ht="15.5" x14ac:dyDescent="0.35">
      <c r="A335" s="64"/>
      <c r="B335" s="64"/>
      <c r="C335" s="64"/>
      <c r="D335" s="64"/>
      <c r="E335" s="64"/>
      <c r="F335" s="64"/>
      <c r="G335" s="64"/>
    </row>
    <row r="336" spans="1:7" ht="15.5" x14ac:dyDescent="0.35">
      <c r="A336" s="67"/>
      <c r="B336" s="67"/>
      <c r="C336" s="67"/>
      <c r="D336" s="67"/>
      <c r="E336" s="67"/>
      <c r="F336" s="67"/>
      <c r="G336" s="67"/>
    </row>
    <row r="337" spans="1:7" ht="15.5" x14ac:dyDescent="0.35">
      <c r="A337" s="64"/>
      <c r="B337" s="64"/>
      <c r="C337" s="64"/>
      <c r="D337" s="64"/>
      <c r="E337" s="64"/>
      <c r="F337" s="64"/>
      <c r="G337" s="64"/>
    </row>
    <row r="338" spans="1:7" ht="15.5" x14ac:dyDescent="0.35">
      <c r="A338" s="67"/>
      <c r="B338" s="67"/>
      <c r="C338" s="67"/>
      <c r="D338" s="67"/>
      <c r="E338" s="67"/>
      <c r="F338" s="67"/>
      <c r="G338" s="67"/>
    </row>
    <row r="339" spans="1:7" ht="15.5" x14ac:dyDescent="0.35">
      <c r="A339" s="64"/>
      <c r="B339" s="64"/>
      <c r="C339" s="64"/>
      <c r="D339" s="64"/>
      <c r="E339" s="64"/>
      <c r="F339" s="64"/>
      <c r="G339" s="64"/>
    </row>
    <row r="340" spans="1:7" ht="15.5" x14ac:dyDescent="0.35">
      <c r="A340" s="67"/>
      <c r="B340" s="67"/>
      <c r="C340" s="67"/>
      <c r="D340" s="67"/>
      <c r="E340" s="67"/>
      <c r="F340" s="67"/>
      <c r="G340" s="67"/>
    </row>
    <row r="341" spans="1:7" ht="15.5" x14ac:dyDescent="0.35">
      <c r="A341" s="64"/>
      <c r="B341" s="64"/>
      <c r="C341" s="64"/>
      <c r="D341" s="64"/>
      <c r="E341" s="64"/>
      <c r="F341" s="64"/>
      <c r="G341" s="64"/>
    </row>
    <row r="342" spans="1:7" ht="15.5" x14ac:dyDescent="0.35">
      <c r="A342" s="67"/>
      <c r="B342" s="67"/>
      <c r="C342" s="67"/>
      <c r="D342" s="67"/>
      <c r="E342" s="67"/>
      <c r="F342" s="67"/>
      <c r="G342" s="67"/>
    </row>
    <row r="343" spans="1:7" ht="15.5" x14ac:dyDescent="0.35">
      <c r="A343" s="64"/>
      <c r="B343" s="64"/>
      <c r="C343" s="64"/>
      <c r="D343" s="64"/>
      <c r="E343" s="64"/>
      <c r="F343" s="64"/>
      <c r="G343" s="64"/>
    </row>
    <row r="344" spans="1:7" ht="15.5" x14ac:dyDescent="0.35">
      <c r="A344" s="67"/>
      <c r="B344" s="67"/>
      <c r="C344" s="67"/>
      <c r="D344" s="67"/>
      <c r="E344" s="67"/>
      <c r="F344" s="67"/>
      <c r="G344" s="67"/>
    </row>
    <row r="345" spans="1:7" ht="15.5" x14ac:dyDescent="0.35">
      <c r="A345" s="64"/>
      <c r="B345" s="64"/>
      <c r="C345" s="64"/>
      <c r="D345" s="64"/>
      <c r="E345" s="64"/>
      <c r="F345" s="64"/>
      <c r="G345" s="64"/>
    </row>
    <row r="346" spans="1:7" ht="15.5" x14ac:dyDescent="0.35">
      <c r="A346" s="67"/>
      <c r="B346" s="67"/>
      <c r="C346" s="67"/>
      <c r="D346" s="67"/>
      <c r="E346" s="67"/>
      <c r="F346" s="67"/>
      <c r="G346" s="67"/>
    </row>
    <row r="347" spans="1:7" ht="15.5" x14ac:dyDescent="0.35">
      <c r="A347" s="64"/>
      <c r="B347" s="64"/>
      <c r="C347" s="64"/>
      <c r="D347" s="64"/>
      <c r="E347" s="64"/>
      <c r="F347" s="64"/>
      <c r="G347" s="64"/>
    </row>
    <row r="348" spans="1:7" ht="15.5" x14ac:dyDescent="0.35">
      <c r="A348" s="67"/>
      <c r="B348" s="67"/>
      <c r="C348" s="67"/>
      <c r="D348" s="67"/>
      <c r="E348" s="67"/>
      <c r="F348" s="67"/>
      <c r="G348" s="67"/>
    </row>
    <row r="349" spans="1:7" ht="15.5" x14ac:dyDescent="0.35">
      <c r="A349" s="64"/>
      <c r="B349" s="64"/>
      <c r="C349" s="64"/>
      <c r="D349" s="64"/>
      <c r="E349" s="64"/>
      <c r="F349" s="64"/>
      <c r="G349" s="64"/>
    </row>
    <row r="350" spans="1:7" ht="15.5" x14ac:dyDescent="0.35">
      <c r="A350" s="67"/>
      <c r="B350" s="67"/>
      <c r="C350" s="67"/>
      <c r="D350" s="67"/>
      <c r="E350" s="67"/>
      <c r="F350" s="67"/>
      <c r="G350" s="67"/>
    </row>
    <row r="351" spans="1:7" ht="15.5" x14ac:dyDescent="0.35">
      <c r="A351" s="64"/>
      <c r="B351" s="64"/>
      <c r="C351" s="64"/>
      <c r="D351" s="64"/>
      <c r="E351" s="64"/>
      <c r="F351" s="64"/>
      <c r="G351" s="64"/>
    </row>
    <row r="352" spans="1:7" ht="15.5" x14ac:dyDescent="0.35">
      <c r="A352" s="67"/>
      <c r="B352" s="67"/>
      <c r="C352" s="67"/>
      <c r="D352" s="67"/>
      <c r="E352" s="67"/>
      <c r="F352" s="67"/>
      <c r="G352" s="67"/>
    </row>
    <row r="353" spans="1:7" ht="15.5" x14ac:dyDescent="0.35">
      <c r="A353" s="64"/>
      <c r="B353" s="64"/>
      <c r="C353" s="64"/>
      <c r="D353" s="64"/>
      <c r="E353" s="64"/>
      <c r="F353" s="64"/>
      <c r="G353" s="64"/>
    </row>
    <row r="354" spans="1:7" ht="15.5" x14ac:dyDescent="0.35">
      <c r="A354" s="67"/>
      <c r="B354" s="67"/>
      <c r="C354" s="67"/>
      <c r="D354" s="67"/>
      <c r="E354" s="67"/>
      <c r="F354" s="67"/>
      <c r="G354" s="67"/>
    </row>
    <row r="355" spans="1:7" ht="15.5" x14ac:dyDescent="0.35">
      <c r="A355" s="64"/>
      <c r="B355" s="64"/>
      <c r="C355" s="64"/>
      <c r="D355" s="64"/>
      <c r="E355" s="64"/>
      <c r="F355" s="64"/>
      <c r="G355" s="64"/>
    </row>
    <row r="356" spans="1:7" ht="15.5" x14ac:dyDescent="0.35">
      <c r="A356" s="67"/>
      <c r="B356" s="67"/>
      <c r="C356" s="67"/>
      <c r="D356" s="67"/>
      <c r="E356" s="67"/>
      <c r="F356" s="67"/>
      <c r="G356" s="67"/>
    </row>
    <row r="357" spans="1:7" ht="15.5" x14ac:dyDescent="0.35">
      <c r="A357" s="64"/>
      <c r="B357" s="64"/>
      <c r="C357" s="64"/>
      <c r="D357" s="64"/>
      <c r="E357" s="64"/>
      <c r="F357" s="64"/>
      <c r="G357" s="64"/>
    </row>
    <row r="358" spans="1:7" ht="15.5" x14ac:dyDescent="0.35">
      <c r="A358" s="67"/>
      <c r="B358" s="67"/>
      <c r="C358" s="67"/>
      <c r="D358" s="67"/>
      <c r="E358" s="67"/>
      <c r="F358" s="67"/>
      <c r="G358" s="67"/>
    </row>
    <row r="359" spans="1:7" ht="15.5" x14ac:dyDescent="0.35">
      <c r="A359" s="64"/>
      <c r="B359" s="64"/>
      <c r="C359" s="64"/>
      <c r="D359" s="64"/>
      <c r="E359" s="64"/>
      <c r="F359" s="64"/>
      <c r="G359" s="64"/>
    </row>
    <row r="360" spans="1:7" ht="15.5" x14ac:dyDescent="0.35">
      <c r="A360" s="67"/>
      <c r="B360" s="67"/>
      <c r="C360" s="67"/>
      <c r="D360" s="67"/>
      <c r="E360" s="67"/>
      <c r="F360" s="67"/>
      <c r="G360" s="67"/>
    </row>
    <row r="361" spans="1:7" ht="15.5" x14ac:dyDescent="0.35">
      <c r="A361" s="64"/>
      <c r="B361" s="64"/>
      <c r="C361" s="64"/>
      <c r="D361" s="64"/>
      <c r="E361" s="64"/>
      <c r="F361" s="64"/>
      <c r="G361" s="64"/>
    </row>
    <row r="362" spans="1:7" ht="15.5" x14ac:dyDescent="0.35">
      <c r="A362" s="67"/>
      <c r="B362" s="67"/>
      <c r="C362" s="67"/>
      <c r="D362" s="67"/>
      <c r="E362" s="67"/>
      <c r="F362" s="67"/>
      <c r="G362" s="67"/>
    </row>
    <row r="363" spans="1:7" ht="15.5" x14ac:dyDescent="0.35">
      <c r="A363" s="64"/>
      <c r="B363" s="64"/>
      <c r="C363" s="64"/>
      <c r="D363" s="64"/>
      <c r="E363" s="64"/>
      <c r="F363" s="64"/>
      <c r="G363" s="64"/>
    </row>
    <row r="364" spans="1:7" ht="15.5" x14ac:dyDescent="0.35">
      <c r="A364" s="67"/>
      <c r="B364" s="67"/>
      <c r="C364" s="67"/>
      <c r="D364" s="67"/>
      <c r="E364" s="67"/>
      <c r="F364" s="67"/>
      <c r="G364" s="67"/>
    </row>
    <row r="365" spans="1:7" ht="15.5" x14ac:dyDescent="0.35">
      <c r="A365" s="64"/>
      <c r="B365" s="64"/>
      <c r="C365" s="64"/>
      <c r="D365" s="64"/>
      <c r="E365" s="64"/>
      <c r="F365" s="64"/>
      <c r="G365" s="64"/>
    </row>
    <row r="366" spans="1:7" ht="15.5" x14ac:dyDescent="0.35">
      <c r="A366" s="67"/>
      <c r="B366" s="67"/>
      <c r="C366" s="67"/>
      <c r="D366" s="67"/>
      <c r="E366" s="67"/>
      <c r="F366" s="67"/>
      <c r="G366" s="67"/>
    </row>
    <row r="367" spans="1:7" ht="15.5" x14ac:dyDescent="0.35">
      <c r="A367" s="64"/>
      <c r="B367" s="64"/>
      <c r="C367" s="64"/>
      <c r="D367" s="64"/>
      <c r="E367" s="64"/>
      <c r="F367" s="64"/>
      <c r="G367" s="64"/>
    </row>
    <row r="368" spans="1:7" ht="15.5" x14ac:dyDescent="0.35">
      <c r="A368" s="67"/>
      <c r="B368" s="67"/>
      <c r="C368" s="67"/>
      <c r="D368" s="67"/>
      <c r="E368" s="67"/>
      <c r="F368" s="67"/>
      <c r="G368" s="67"/>
    </row>
    <row r="369" spans="1:7" ht="15.5" x14ac:dyDescent="0.35">
      <c r="A369" s="64"/>
      <c r="B369" s="64"/>
      <c r="C369" s="64"/>
      <c r="D369" s="64"/>
      <c r="E369" s="64"/>
      <c r="F369" s="64"/>
      <c r="G369" s="64"/>
    </row>
    <row r="370" spans="1:7" ht="15.5" x14ac:dyDescent="0.35">
      <c r="A370" s="67"/>
      <c r="B370" s="67"/>
      <c r="C370" s="67"/>
      <c r="D370" s="67"/>
      <c r="E370" s="67"/>
      <c r="F370" s="67"/>
      <c r="G370" s="67"/>
    </row>
    <row r="371" spans="1:7" ht="15.5" x14ac:dyDescent="0.35">
      <c r="A371" s="64"/>
      <c r="B371" s="64"/>
      <c r="C371" s="64"/>
      <c r="D371" s="64"/>
      <c r="E371" s="64"/>
      <c r="F371" s="64"/>
      <c r="G371" s="64"/>
    </row>
    <row r="372" spans="1:7" ht="15.5" x14ac:dyDescent="0.35">
      <c r="A372" s="67"/>
      <c r="B372" s="67"/>
      <c r="C372" s="67"/>
      <c r="D372" s="67"/>
      <c r="E372" s="67"/>
      <c r="F372" s="67"/>
      <c r="G372" s="67"/>
    </row>
    <row r="373" spans="1:7" ht="15.5" x14ac:dyDescent="0.35">
      <c r="A373" s="64"/>
      <c r="B373" s="64"/>
      <c r="C373" s="64"/>
      <c r="D373" s="64"/>
      <c r="E373" s="64"/>
      <c r="F373" s="64"/>
      <c r="G373" s="64"/>
    </row>
    <row r="374" spans="1:7" ht="15.5" x14ac:dyDescent="0.35">
      <c r="A374" s="67"/>
      <c r="B374" s="67"/>
      <c r="C374" s="67"/>
      <c r="D374" s="67"/>
      <c r="E374" s="67"/>
      <c r="F374" s="67"/>
      <c r="G374" s="67"/>
    </row>
    <row r="375" spans="1:7" ht="15.5" x14ac:dyDescent="0.35">
      <c r="A375" s="64"/>
      <c r="B375" s="64"/>
      <c r="C375" s="64"/>
      <c r="D375" s="64"/>
      <c r="E375" s="64"/>
      <c r="F375" s="64"/>
      <c r="G375" s="64"/>
    </row>
    <row r="376" spans="1:7" ht="15.5" x14ac:dyDescent="0.35">
      <c r="A376" s="67"/>
      <c r="B376" s="67"/>
      <c r="C376" s="67"/>
      <c r="D376" s="67"/>
      <c r="E376" s="67"/>
      <c r="F376" s="67"/>
      <c r="G376" s="67"/>
    </row>
    <row r="377" spans="1:7" ht="15.5" x14ac:dyDescent="0.35">
      <c r="A377" s="64"/>
      <c r="B377" s="64"/>
      <c r="C377" s="64"/>
      <c r="D377" s="64"/>
      <c r="E377" s="64"/>
      <c r="F377" s="64"/>
      <c r="G377" s="64"/>
    </row>
    <row r="378" spans="1:7" ht="15.5" x14ac:dyDescent="0.35">
      <c r="A378" s="67"/>
      <c r="B378" s="67"/>
      <c r="C378" s="67"/>
      <c r="D378" s="67"/>
      <c r="E378" s="67"/>
      <c r="F378" s="67"/>
      <c r="G378" s="67"/>
    </row>
    <row r="379" spans="1:7" ht="15.5" x14ac:dyDescent="0.35">
      <c r="A379" s="64"/>
      <c r="B379" s="64"/>
      <c r="C379" s="64"/>
      <c r="D379" s="64"/>
      <c r="E379" s="64"/>
      <c r="F379" s="64"/>
      <c r="G379" s="64"/>
    </row>
    <row r="380" spans="1:7" ht="15.5" x14ac:dyDescent="0.35">
      <c r="A380" s="67"/>
      <c r="B380" s="67"/>
      <c r="C380" s="67"/>
      <c r="D380" s="67"/>
      <c r="E380" s="67"/>
      <c r="F380" s="67"/>
      <c r="G380" s="67"/>
    </row>
    <row r="381" spans="1:7" ht="15.5" x14ac:dyDescent="0.35">
      <c r="A381" s="64"/>
      <c r="B381" s="64"/>
      <c r="C381" s="64"/>
      <c r="D381" s="64"/>
      <c r="E381" s="64"/>
      <c r="F381" s="64"/>
      <c r="G381" s="64"/>
    </row>
    <row r="382" spans="1:7" ht="15.5" x14ac:dyDescent="0.35">
      <c r="A382" s="67"/>
      <c r="B382" s="67"/>
      <c r="C382" s="67"/>
      <c r="D382" s="67"/>
      <c r="E382" s="67"/>
      <c r="F382" s="67"/>
      <c r="G382" s="67"/>
    </row>
    <row r="383" spans="1:7" ht="15.5" x14ac:dyDescent="0.35">
      <c r="A383" s="64"/>
      <c r="B383" s="64"/>
      <c r="C383" s="64"/>
      <c r="D383" s="64"/>
      <c r="E383" s="64"/>
      <c r="F383" s="64"/>
      <c r="G383" s="64"/>
    </row>
    <row r="384" spans="1:7" ht="15.5" x14ac:dyDescent="0.35">
      <c r="A384" s="67"/>
      <c r="B384" s="67"/>
      <c r="C384" s="67"/>
      <c r="D384" s="67"/>
      <c r="E384" s="67"/>
      <c r="F384" s="67"/>
      <c r="G384" s="67"/>
    </row>
    <row r="385" spans="1:7" ht="15.5" x14ac:dyDescent="0.35">
      <c r="A385" s="64"/>
      <c r="B385" s="64"/>
      <c r="C385" s="64"/>
      <c r="D385" s="64"/>
      <c r="E385" s="64"/>
      <c r="F385" s="64"/>
      <c r="G385" s="64"/>
    </row>
    <row r="386" spans="1:7" ht="15.5" x14ac:dyDescent="0.35">
      <c r="A386" s="67"/>
      <c r="B386" s="67"/>
      <c r="C386" s="67"/>
      <c r="D386" s="67"/>
      <c r="E386" s="67"/>
      <c r="F386" s="67"/>
      <c r="G386" s="67"/>
    </row>
    <row r="387" spans="1:7" ht="15.5" x14ac:dyDescent="0.35">
      <c r="A387" s="64"/>
      <c r="B387" s="64"/>
      <c r="C387" s="64"/>
      <c r="D387" s="64"/>
      <c r="E387" s="64"/>
      <c r="F387" s="64"/>
      <c r="G387" s="64"/>
    </row>
    <row r="388" spans="1:7" ht="15.5" x14ac:dyDescent="0.35">
      <c r="A388" s="67"/>
      <c r="B388" s="67"/>
      <c r="C388" s="67"/>
      <c r="D388" s="67"/>
      <c r="E388" s="67"/>
      <c r="F388" s="67"/>
      <c r="G388" s="67"/>
    </row>
    <row r="389" spans="1:7" ht="15.5" x14ac:dyDescent="0.35">
      <c r="A389" s="64"/>
      <c r="B389" s="64"/>
      <c r="C389" s="64"/>
      <c r="D389" s="64"/>
      <c r="E389" s="64"/>
      <c r="F389" s="64"/>
      <c r="G389" s="64"/>
    </row>
    <row r="390" spans="1:7" ht="15.5" x14ac:dyDescent="0.35">
      <c r="A390" s="67"/>
      <c r="B390" s="67"/>
      <c r="C390" s="67"/>
      <c r="D390" s="67"/>
      <c r="E390" s="67"/>
      <c r="F390" s="67"/>
      <c r="G390" s="67"/>
    </row>
    <row r="391" spans="1:7" ht="15.5" x14ac:dyDescent="0.35">
      <c r="A391" s="64"/>
      <c r="B391" s="64"/>
      <c r="C391" s="64"/>
      <c r="D391" s="64"/>
      <c r="E391" s="64"/>
      <c r="F391" s="64"/>
      <c r="G391" s="64"/>
    </row>
    <row r="392" spans="1:7" ht="15.5" x14ac:dyDescent="0.35">
      <c r="A392" s="67"/>
      <c r="B392" s="67"/>
      <c r="C392" s="67"/>
      <c r="D392" s="67"/>
      <c r="E392" s="67"/>
      <c r="F392" s="67"/>
      <c r="G392" s="67"/>
    </row>
    <row r="393" spans="1:7" ht="15.5" x14ac:dyDescent="0.35">
      <c r="A393" s="64"/>
      <c r="B393" s="64"/>
      <c r="C393" s="64"/>
      <c r="D393" s="64"/>
      <c r="E393" s="64"/>
      <c r="F393" s="64"/>
      <c r="G393" s="64"/>
    </row>
    <row r="394" spans="1:7" ht="15.5" x14ac:dyDescent="0.35">
      <c r="A394" s="67"/>
      <c r="B394" s="67"/>
      <c r="C394" s="67"/>
      <c r="D394" s="67"/>
      <c r="E394" s="67"/>
      <c r="F394" s="67"/>
      <c r="G394" s="67"/>
    </row>
    <row r="395" spans="1:7" ht="15.5" x14ac:dyDescent="0.35">
      <c r="A395" s="64"/>
      <c r="B395" s="64"/>
      <c r="C395" s="64"/>
      <c r="D395" s="64"/>
      <c r="E395" s="64"/>
      <c r="F395" s="64"/>
      <c r="G395" s="64"/>
    </row>
    <row r="396" spans="1:7" ht="15.5" x14ac:dyDescent="0.35">
      <c r="A396" s="67"/>
      <c r="B396" s="67"/>
      <c r="C396" s="67"/>
      <c r="D396" s="67"/>
      <c r="E396" s="67"/>
      <c r="F396" s="67"/>
      <c r="G396" s="67"/>
    </row>
    <row r="397" spans="1:7" ht="15.5" x14ac:dyDescent="0.35">
      <c r="A397" s="64"/>
      <c r="B397" s="64"/>
      <c r="C397" s="64"/>
      <c r="D397" s="64"/>
      <c r="E397" s="64"/>
      <c r="F397" s="64"/>
      <c r="G397" s="64"/>
    </row>
    <row r="398" spans="1:7" ht="15.5" x14ac:dyDescent="0.35">
      <c r="A398" s="67"/>
      <c r="B398" s="67"/>
      <c r="C398" s="67"/>
      <c r="D398" s="67"/>
      <c r="E398" s="67"/>
      <c r="F398" s="67"/>
      <c r="G398" s="67"/>
    </row>
    <row r="399" spans="1:7" ht="15.5" x14ac:dyDescent="0.35">
      <c r="A399" s="64"/>
      <c r="B399" s="64"/>
      <c r="C399" s="64"/>
      <c r="D399" s="64"/>
      <c r="E399" s="64"/>
      <c r="F399" s="64"/>
      <c r="G399" s="64"/>
    </row>
    <row r="400" spans="1:7" ht="15.5" x14ac:dyDescent="0.35">
      <c r="A400" s="67"/>
      <c r="B400" s="67"/>
      <c r="C400" s="67"/>
      <c r="D400" s="67"/>
      <c r="E400" s="67"/>
      <c r="F400" s="67"/>
      <c r="G400" s="67"/>
    </row>
    <row r="401" spans="1:7" ht="15.5" x14ac:dyDescent="0.35">
      <c r="A401" s="64"/>
      <c r="B401" s="64"/>
      <c r="C401" s="64"/>
      <c r="D401" s="64"/>
      <c r="E401" s="64"/>
      <c r="F401" s="64"/>
      <c r="G401" s="64"/>
    </row>
    <row r="402" spans="1:7" ht="15.5" x14ac:dyDescent="0.35">
      <c r="A402" s="67"/>
      <c r="B402" s="67"/>
      <c r="C402" s="67"/>
      <c r="D402" s="67"/>
      <c r="E402" s="67"/>
      <c r="F402" s="67"/>
      <c r="G402" s="67"/>
    </row>
    <row r="403" spans="1:7" ht="15.5" x14ac:dyDescent="0.35">
      <c r="A403" s="64"/>
      <c r="B403" s="64"/>
      <c r="C403" s="64"/>
      <c r="D403" s="64"/>
      <c r="E403" s="64"/>
      <c r="F403" s="64"/>
      <c r="G403" s="64"/>
    </row>
    <row r="404" spans="1:7" ht="15.5" x14ac:dyDescent="0.35">
      <c r="A404" s="67"/>
      <c r="B404" s="67"/>
      <c r="C404" s="67"/>
      <c r="D404" s="67"/>
      <c r="E404" s="67"/>
      <c r="F404" s="67"/>
      <c r="G404" s="67"/>
    </row>
    <row r="405" spans="1:7" ht="15.5" x14ac:dyDescent="0.35">
      <c r="A405" s="64"/>
      <c r="B405" s="64"/>
      <c r="C405" s="64"/>
      <c r="D405" s="64"/>
      <c r="E405" s="64"/>
      <c r="F405" s="64"/>
      <c r="G405" s="64"/>
    </row>
    <row r="406" spans="1:7" ht="15.5" x14ac:dyDescent="0.35">
      <c r="A406" s="67"/>
      <c r="B406" s="67"/>
      <c r="C406" s="67"/>
      <c r="D406" s="67"/>
      <c r="E406" s="67"/>
      <c r="F406" s="67"/>
      <c r="G406" s="67"/>
    </row>
    <row r="407" spans="1:7" ht="15.5" x14ac:dyDescent="0.35">
      <c r="A407" s="64"/>
      <c r="B407" s="64"/>
      <c r="C407" s="64"/>
      <c r="D407" s="64"/>
      <c r="E407" s="64"/>
      <c r="F407" s="64"/>
      <c r="G407" s="64"/>
    </row>
    <row r="408" spans="1:7" ht="15.5" x14ac:dyDescent="0.35">
      <c r="A408" s="67"/>
      <c r="B408" s="67"/>
      <c r="C408" s="67"/>
      <c r="D408" s="67"/>
      <c r="E408" s="67"/>
      <c r="F408" s="67"/>
      <c r="G408" s="67"/>
    </row>
    <row r="409" spans="1:7" ht="15.5" x14ac:dyDescent="0.35">
      <c r="A409" s="64"/>
      <c r="B409" s="64"/>
      <c r="C409" s="64"/>
      <c r="D409" s="64"/>
      <c r="E409" s="64"/>
      <c r="F409" s="64"/>
      <c r="G409" s="64"/>
    </row>
    <row r="410" spans="1:7" ht="15.5" x14ac:dyDescent="0.35">
      <c r="A410" s="67"/>
      <c r="B410" s="67"/>
      <c r="C410" s="67"/>
      <c r="D410" s="67"/>
      <c r="E410" s="67"/>
      <c r="F410" s="67"/>
      <c r="G410" s="67"/>
    </row>
    <row r="411" spans="1:7" ht="15.5" x14ac:dyDescent="0.35">
      <c r="A411" s="64"/>
      <c r="B411" s="64"/>
      <c r="C411" s="64"/>
      <c r="D411" s="64"/>
      <c r="E411" s="64"/>
      <c r="F411" s="64"/>
      <c r="G411" s="64"/>
    </row>
    <row r="412" spans="1:7" ht="15.5" x14ac:dyDescent="0.35">
      <c r="A412" s="67"/>
      <c r="B412" s="67"/>
      <c r="C412" s="67"/>
      <c r="D412" s="67"/>
      <c r="E412" s="67"/>
      <c r="F412" s="67"/>
      <c r="G412" s="67"/>
    </row>
    <row r="413" spans="1:7" ht="15.5" x14ac:dyDescent="0.35">
      <c r="A413" s="64"/>
      <c r="B413" s="64"/>
      <c r="C413" s="64"/>
      <c r="D413" s="64"/>
      <c r="E413" s="64"/>
      <c r="F413" s="64"/>
      <c r="G413" s="64"/>
    </row>
    <row r="414" spans="1:7" ht="15.5" x14ac:dyDescent="0.35">
      <c r="A414" s="67"/>
      <c r="B414" s="67"/>
      <c r="C414" s="67"/>
      <c r="D414" s="67"/>
      <c r="E414" s="67"/>
      <c r="F414" s="67"/>
      <c r="G414" s="67"/>
    </row>
    <row r="415" spans="1:7" ht="15.5" x14ac:dyDescent="0.35">
      <c r="A415" s="64"/>
      <c r="B415" s="64"/>
      <c r="C415" s="64"/>
      <c r="D415" s="64"/>
      <c r="E415" s="64"/>
      <c r="F415" s="64"/>
      <c r="G415" s="64"/>
    </row>
    <row r="416" spans="1:7" ht="15.5" x14ac:dyDescent="0.35">
      <c r="A416" s="67"/>
      <c r="B416" s="67"/>
      <c r="C416" s="67"/>
      <c r="D416" s="67"/>
      <c r="E416" s="67"/>
      <c r="F416" s="67"/>
      <c r="G416" s="67"/>
    </row>
    <row r="417" spans="1:7" ht="15.5" x14ac:dyDescent="0.35">
      <c r="A417" s="64"/>
      <c r="B417" s="64"/>
      <c r="C417" s="64"/>
      <c r="D417" s="64"/>
      <c r="E417" s="64"/>
      <c r="F417" s="64"/>
      <c r="G417" s="64"/>
    </row>
    <row r="418" spans="1:7" ht="15.5" x14ac:dyDescent="0.35">
      <c r="A418" s="67"/>
      <c r="B418" s="67"/>
      <c r="C418" s="67"/>
      <c r="D418" s="67"/>
      <c r="E418" s="67"/>
      <c r="F418" s="67"/>
      <c r="G418" s="67"/>
    </row>
    <row r="419" spans="1:7" ht="15.5" x14ac:dyDescent="0.35">
      <c r="A419" s="64"/>
      <c r="B419" s="64"/>
      <c r="C419" s="64"/>
      <c r="D419" s="64"/>
      <c r="E419" s="64"/>
      <c r="F419" s="64"/>
      <c r="G419" s="64"/>
    </row>
    <row r="420" spans="1:7" ht="15.5" x14ac:dyDescent="0.35">
      <c r="A420" s="67"/>
      <c r="B420" s="67"/>
      <c r="C420" s="67"/>
      <c r="D420" s="67"/>
      <c r="E420" s="67"/>
      <c r="F420" s="67"/>
      <c r="G420" s="67"/>
    </row>
    <row r="421" spans="1:7" ht="15.5" x14ac:dyDescent="0.35">
      <c r="A421" s="64"/>
      <c r="B421" s="64"/>
      <c r="C421" s="64"/>
      <c r="D421" s="64"/>
      <c r="E421" s="64"/>
      <c r="F421" s="64"/>
      <c r="G421" s="64"/>
    </row>
    <row r="422" spans="1:7" ht="15.5" x14ac:dyDescent="0.35">
      <c r="A422" s="67"/>
      <c r="B422" s="67"/>
      <c r="C422" s="67"/>
      <c r="D422" s="67"/>
      <c r="E422" s="67"/>
      <c r="F422" s="67"/>
      <c r="G422" s="67"/>
    </row>
    <row r="423" spans="1:7" ht="15.5" x14ac:dyDescent="0.35">
      <c r="A423" s="64"/>
      <c r="B423" s="64"/>
      <c r="C423" s="64"/>
      <c r="D423" s="64"/>
      <c r="E423" s="64"/>
      <c r="F423" s="64"/>
      <c r="G423" s="64"/>
    </row>
    <row r="424" spans="1:7" ht="15.5" x14ac:dyDescent="0.35">
      <c r="A424" s="67"/>
      <c r="B424" s="67"/>
      <c r="C424" s="67"/>
      <c r="D424" s="67"/>
      <c r="E424" s="67"/>
      <c r="F424" s="67"/>
      <c r="G424" s="67"/>
    </row>
    <row r="425" spans="1:7" ht="15.5" x14ac:dyDescent="0.35">
      <c r="A425" s="64"/>
      <c r="B425" s="64"/>
      <c r="C425" s="64"/>
      <c r="D425" s="64"/>
      <c r="E425" s="64"/>
      <c r="F425" s="64"/>
      <c r="G425" s="64"/>
    </row>
    <row r="426" spans="1:7" ht="15.5" x14ac:dyDescent="0.35">
      <c r="A426" s="67"/>
      <c r="B426" s="67"/>
      <c r="C426" s="67"/>
      <c r="D426" s="67"/>
      <c r="E426" s="67"/>
      <c r="F426" s="67"/>
      <c r="G426" s="67"/>
    </row>
    <row r="427" spans="1:7" ht="15.5" x14ac:dyDescent="0.35">
      <c r="A427" s="64"/>
      <c r="B427" s="64"/>
      <c r="C427" s="64"/>
      <c r="D427" s="64"/>
      <c r="E427" s="64"/>
      <c r="F427" s="64"/>
      <c r="G427" s="64"/>
    </row>
    <row r="428" spans="1:7" ht="15.5" x14ac:dyDescent="0.35">
      <c r="A428" s="67"/>
      <c r="B428" s="67"/>
      <c r="C428" s="67"/>
      <c r="D428" s="67"/>
      <c r="E428" s="67"/>
      <c r="F428" s="67"/>
      <c r="G428" s="67"/>
    </row>
    <row r="429" spans="1:7" ht="15.5" x14ac:dyDescent="0.35">
      <c r="A429" s="64"/>
      <c r="B429" s="64"/>
      <c r="C429" s="64"/>
      <c r="D429" s="64"/>
      <c r="E429" s="64"/>
      <c r="F429" s="64"/>
      <c r="G429" s="64"/>
    </row>
    <row r="430" spans="1:7" ht="15.5" x14ac:dyDescent="0.35">
      <c r="A430" s="67"/>
      <c r="B430" s="67"/>
      <c r="C430" s="67"/>
      <c r="D430" s="67"/>
      <c r="E430" s="67"/>
      <c r="F430" s="67"/>
      <c r="G430" s="67"/>
    </row>
    <row r="431" spans="1:7" ht="15.5" x14ac:dyDescent="0.35">
      <c r="A431" s="64"/>
      <c r="B431" s="64"/>
      <c r="C431" s="64"/>
      <c r="D431" s="64"/>
      <c r="E431" s="64"/>
      <c r="F431" s="64"/>
      <c r="G431" s="64"/>
    </row>
    <row r="432" spans="1:7" ht="15.5" x14ac:dyDescent="0.35">
      <c r="A432" s="67"/>
      <c r="B432" s="67"/>
      <c r="C432" s="67"/>
      <c r="D432" s="67"/>
      <c r="E432" s="67"/>
      <c r="F432" s="67"/>
      <c r="G432" s="67"/>
    </row>
    <row r="433" spans="1:7" ht="15.5" x14ac:dyDescent="0.35">
      <c r="A433" s="64"/>
      <c r="B433" s="64"/>
      <c r="C433" s="64"/>
      <c r="D433" s="64"/>
      <c r="E433" s="64"/>
      <c r="F433" s="64"/>
      <c r="G433" s="64"/>
    </row>
    <row r="434" spans="1:7" ht="15.5" x14ac:dyDescent="0.35">
      <c r="A434" s="67"/>
      <c r="B434" s="67"/>
      <c r="C434" s="67"/>
      <c r="D434" s="67"/>
      <c r="E434" s="67"/>
      <c r="F434" s="67"/>
      <c r="G434" s="67"/>
    </row>
    <row r="435" spans="1:7" ht="15.5" x14ac:dyDescent="0.35">
      <c r="A435" s="64"/>
      <c r="B435" s="64"/>
      <c r="C435" s="64"/>
      <c r="D435" s="64"/>
      <c r="E435" s="64"/>
      <c r="F435" s="64"/>
      <c r="G435" s="64"/>
    </row>
    <row r="436" spans="1:7" ht="15.5" x14ac:dyDescent="0.35">
      <c r="A436" s="67"/>
      <c r="B436" s="67"/>
      <c r="C436" s="67"/>
      <c r="D436" s="67"/>
      <c r="E436" s="67"/>
      <c r="F436" s="67"/>
      <c r="G436" s="67"/>
    </row>
    <row r="437" spans="1:7" ht="15.5" x14ac:dyDescent="0.35">
      <c r="A437" s="64"/>
      <c r="B437" s="64"/>
      <c r="C437" s="64"/>
      <c r="D437" s="64"/>
      <c r="E437" s="64"/>
      <c r="F437" s="64"/>
      <c r="G437" s="64"/>
    </row>
    <row r="438" spans="1:7" ht="15.5" x14ac:dyDescent="0.35">
      <c r="A438" s="67"/>
      <c r="B438" s="67"/>
      <c r="C438" s="67"/>
      <c r="D438" s="67"/>
      <c r="E438" s="67"/>
      <c r="F438" s="67"/>
      <c r="G438" s="67"/>
    </row>
    <row r="439" spans="1:7" ht="15.5" x14ac:dyDescent="0.35">
      <c r="A439" s="64"/>
      <c r="B439" s="64"/>
      <c r="C439" s="64"/>
      <c r="D439" s="64"/>
      <c r="E439" s="64"/>
      <c r="F439" s="64"/>
      <c r="G439" s="64"/>
    </row>
    <row r="440" spans="1:7" ht="15.5" x14ac:dyDescent="0.35">
      <c r="A440" s="67"/>
      <c r="B440" s="67"/>
      <c r="C440" s="67"/>
      <c r="D440" s="67"/>
      <c r="E440" s="67"/>
      <c r="F440" s="67"/>
      <c r="G440" s="67"/>
    </row>
    <row r="441" spans="1:7" ht="15.5" x14ac:dyDescent="0.35">
      <c r="A441" s="64"/>
      <c r="B441" s="64"/>
      <c r="C441" s="64"/>
      <c r="D441" s="64"/>
      <c r="E441" s="64"/>
      <c r="F441" s="64"/>
      <c r="G441" s="64"/>
    </row>
    <row r="442" spans="1:7" ht="15.5" x14ac:dyDescent="0.35">
      <c r="A442" s="67"/>
      <c r="B442" s="67"/>
      <c r="C442" s="67"/>
      <c r="D442" s="67"/>
      <c r="E442" s="67"/>
      <c r="F442" s="67"/>
      <c r="G442" s="67"/>
    </row>
    <row r="443" spans="1:7" ht="15.5" x14ac:dyDescent="0.35">
      <c r="A443" s="64"/>
      <c r="B443" s="64"/>
      <c r="C443" s="64"/>
      <c r="D443" s="64"/>
      <c r="E443" s="64"/>
      <c r="F443" s="64"/>
      <c r="G443" s="64"/>
    </row>
    <row r="444" spans="1:7" ht="15.5" x14ac:dyDescent="0.35">
      <c r="A444" s="67"/>
      <c r="B444" s="67"/>
      <c r="C444" s="67"/>
      <c r="D444" s="67"/>
      <c r="E444" s="67"/>
      <c r="F444" s="67"/>
      <c r="G444" s="67"/>
    </row>
    <row r="445" spans="1:7" ht="15.5" x14ac:dyDescent="0.35">
      <c r="A445" s="64"/>
      <c r="B445" s="64"/>
      <c r="C445" s="64"/>
      <c r="D445" s="64"/>
      <c r="E445" s="64"/>
      <c r="F445" s="64"/>
      <c r="G445" s="64"/>
    </row>
    <row r="446" spans="1:7" ht="15.5" x14ac:dyDescent="0.35">
      <c r="A446" s="67"/>
      <c r="B446" s="67"/>
      <c r="C446" s="67"/>
      <c r="D446" s="67"/>
      <c r="E446" s="67"/>
      <c r="F446" s="67"/>
      <c r="G446" s="67"/>
    </row>
    <row r="447" spans="1:7" ht="15.5" x14ac:dyDescent="0.35">
      <c r="A447" s="64"/>
      <c r="B447" s="64"/>
      <c r="C447" s="64"/>
      <c r="D447" s="64"/>
      <c r="E447" s="64"/>
      <c r="F447" s="64"/>
      <c r="G447" s="64"/>
    </row>
    <row r="448" spans="1:7" ht="15.5" x14ac:dyDescent="0.35">
      <c r="A448" s="67"/>
      <c r="B448" s="67"/>
      <c r="C448" s="67"/>
      <c r="D448" s="67"/>
      <c r="E448" s="67"/>
      <c r="F448" s="67"/>
      <c r="G448" s="67"/>
    </row>
    <row r="449" spans="1:7" ht="15.5" x14ac:dyDescent="0.35">
      <c r="A449" s="64"/>
      <c r="B449" s="64"/>
      <c r="C449" s="64"/>
      <c r="D449" s="64"/>
      <c r="E449" s="64"/>
      <c r="F449" s="64"/>
      <c r="G449" s="64"/>
    </row>
    <row r="450" spans="1:7" ht="15.5" x14ac:dyDescent="0.35">
      <c r="A450" s="67"/>
      <c r="B450" s="67"/>
      <c r="C450" s="67"/>
      <c r="D450" s="67"/>
      <c r="E450" s="67"/>
      <c r="F450" s="67"/>
      <c r="G450" s="67"/>
    </row>
    <row r="451" spans="1:7" ht="15.5" x14ac:dyDescent="0.35">
      <c r="A451" s="64"/>
      <c r="B451" s="64"/>
      <c r="C451" s="64"/>
      <c r="D451" s="64"/>
      <c r="E451" s="64"/>
      <c r="F451" s="64"/>
      <c r="G451" s="64"/>
    </row>
    <row r="452" spans="1:7" ht="15.5" x14ac:dyDescent="0.35">
      <c r="A452" s="67"/>
      <c r="B452" s="67"/>
      <c r="C452" s="67"/>
      <c r="D452" s="67"/>
      <c r="E452" s="67"/>
      <c r="F452" s="67"/>
      <c r="G452" s="67"/>
    </row>
    <row r="453" spans="1:7" ht="15.5" x14ac:dyDescent="0.35">
      <c r="A453" s="64"/>
      <c r="B453" s="64"/>
      <c r="C453" s="64"/>
      <c r="D453" s="64"/>
      <c r="E453" s="64"/>
      <c r="F453" s="64"/>
      <c r="G453" s="64"/>
    </row>
    <row r="454" spans="1:7" ht="15.5" x14ac:dyDescent="0.35">
      <c r="A454" s="67"/>
      <c r="B454" s="67"/>
      <c r="C454" s="67"/>
      <c r="D454" s="67"/>
      <c r="E454" s="67"/>
      <c r="F454" s="67"/>
      <c r="G454" s="67"/>
    </row>
    <row r="455" spans="1:7" ht="15.5" x14ac:dyDescent="0.35">
      <c r="A455" s="64"/>
      <c r="B455" s="64"/>
      <c r="C455" s="64"/>
      <c r="D455" s="64"/>
      <c r="E455" s="64"/>
      <c r="F455" s="64"/>
      <c r="G455" s="64"/>
    </row>
    <row r="456" spans="1:7" ht="15.5" x14ac:dyDescent="0.35">
      <c r="A456" s="67"/>
      <c r="B456" s="67"/>
      <c r="C456" s="67"/>
      <c r="D456" s="67"/>
      <c r="E456" s="67"/>
      <c r="F456" s="67"/>
      <c r="G456" s="67"/>
    </row>
    <row r="457" spans="1:7" ht="15.5" x14ac:dyDescent="0.35">
      <c r="A457" s="64"/>
      <c r="B457" s="64"/>
      <c r="C457" s="64"/>
      <c r="D457" s="64"/>
      <c r="E457" s="64"/>
      <c r="F457" s="64"/>
      <c r="G457" s="64"/>
    </row>
    <row r="458" spans="1:7" ht="15.5" x14ac:dyDescent="0.35">
      <c r="A458" s="67"/>
      <c r="B458" s="67"/>
      <c r="C458" s="67"/>
      <c r="D458" s="67"/>
      <c r="E458" s="67"/>
      <c r="F458" s="67"/>
      <c r="G458" s="67"/>
    </row>
    <row r="459" spans="1:7" ht="15.5" x14ac:dyDescent="0.35">
      <c r="A459" s="64"/>
      <c r="B459" s="64"/>
      <c r="C459" s="64"/>
      <c r="D459" s="64"/>
      <c r="E459" s="64"/>
      <c r="F459" s="64"/>
      <c r="G459" s="64"/>
    </row>
    <row r="460" spans="1:7" ht="15.5" x14ac:dyDescent="0.35">
      <c r="A460" s="67"/>
      <c r="B460" s="67"/>
      <c r="C460" s="67"/>
      <c r="D460" s="67"/>
      <c r="E460" s="67"/>
      <c r="F460" s="67"/>
      <c r="G460" s="67"/>
    </row>
    <row r="461" spans="1:7" ht="15.5" x14ac:dyDescent="0.35">
      <c r="A461" s="64"/>
      <c r="B461" s="64"/>
      <c r="C461" s="64"/>
      <c r="D461" s="64"/>
      <c r="E461" s="64"/>
      <c r="F461" s="64"/>
      <c r="G461" s="64"/>
    </row>
    <row r="462" spans="1:7" ht="15.5" x14ac:dyDescent="0.35">
      <c r="A462" s="67"/>
      <c r="B462" s="67"/>
      <c r="C462" s="67"/>
      <c r="D462" s="67"/>
      <c r="E462" s="67"/>
      <c r="F462" s="67"/>
      <c r="G462" s="67"/>
    </row>
    <row r="463" spans="1:7" ht="15.5" x14ac:dyDescent="0.35">
      <c r="A463" s="64"/>
      <c r="B463" s="64"/>
      <c r="C463" s="64"/>
      <c r="D463" s="64"/>
      <c r="E463" s="64"/>
      <c r="F463" s="64"/>
      <c r="G463" s="64"/>
    </row>
    <row r="464" spans="1:7" ht="15.5" x14ac:dyDescent="0.35">
      <c r="A464" s="67"/>
      <c r="B464" s="67"/>
      <c r="C464" s="67"/>
      <c r="D464" s="67"/>
      <c r="E464" s="67"/>
      <c r="F464" s="67"/>
      <c r="G464" s="67"/>
    </row>
    <row r="465" spans="1:7" ht="15.5" x14ac:dyDescent="0.35">
      <c r="A465" s="64"/>
      <c r="B465" s="64"/>
      <c r="C465" s="64"/>
      <c r="D465" s="64"/>
      <c r="E465" s="64"/>
      <c r="F465" s="64"/>
      <c r="G465" s="64"/>
    </row>
    <row r="466" spans="1:7" ht="15.5" x14ac:dyDescent="0.35">
      <c r="A466" s="67"/>
      <c r="B466" s="67"/>
      <c r="C466" s="67"/>
      <c r="D466" s="67"/>
      <c r="E466" s="67"/>
      <c r="F466" s="67"/>
      <c r="G466" s="67"/>
    </row>
    <row r="467" spans="1:7" ht="15.5" x14ac:dyDescent="0.35">
      <c r="A467" s="64"/>
      <c r="B467" s="64"/>
      <c r="C467" s="64"/>
      <c r="D467" s="64"/>
      <c r="E467" s="64"/>
      <c r="F467" s="64"/>
      <c r="G467" s="64"/>
    </row>
    <row r="468" spans="1:7" ht="15.5" x14ac:dyDescent="0.35">
      <c r="A468" s="67"/>
      <c r="B468" s="67"/>
      <c r="C468" s="67"/>
      <c r="D468" s="67"/>
      <c r="E468" s="67"/>
      <c r="F468" s="67"/>
      <c r="G468" s="67"/>
    </row>
    <row r="469" spans="1:7" ht="15.5" x14ac:dyDescent="0.35">
      <c r="A469" s="64"/>
      <c r="B469" s="64"/>
      <c r="C469" s="64"/>
      <c r="D469" s="64"/>
      <c r="E469" s="64"/>
      <c r="F469" s="64"/>
      <c r="G469" s="64"/>
    </row>
    <row r="470" spans="1:7" ht="15.5" x14ac:dyDescent="0.35">
      <c r="A470" s="67"/>
      <c r="B470" s="67"/>
      <c r="C470" s="67"/>
      <c r="D470" s="67"/>
      <c r="E470" s="67"/>
      <c r="F470" s="67"/>
      <c r="G470" s="67"/>
    </row>
    <row r="471" spans="1:7" ht="15.5" x14ac:dyDescent="0.35">
      <c r="A471" s="64"/>
      <c r="B471" s="64"/>
      <c r="C471" s="64"/>
      <c r="D471" s="64"/>
      <c r="E471" s="64"/>
      <c r="F471" s="64"/>
      <c r="G471" s="64"/>
    </row>
    <row r="472" spans="1:7" ht="15.5" x14ac:dyDescent="0.35">
      <c r="A472" s="67"/>
      <c r="B472" s="67"/>
      <c r="C472" s="67"/>
      <c r="D472" s="67"/>
      <c r="E472" s="67"/>
      <c r="F472" s="67"/>
      <c r="G472" s="67"/>
    </row>
    <row r="473" spans="1:7" ht="15.5" x14ac:dyDescent="0.35">
      <c r="A473" s="64"/>
      <c r="B473" s="64"/>
      <c r="C473" s="64"/>
      <c r="D473" s="64"/>
      <c r="E473" s="64"/>
      <c r="F473" s="64"/>
      <c r="G473" s="64"/>
    </row>
    <row r="474" spans="1:7" ht="15.5" x14ac:dyDescent="0.35">
      <c r="A474" s="67"/>
      <c r="B474" s="67"/>
      <c r="C474" s="67"/>
      <c r="D474" s="67"/>
      <c r="E474" s="67"/>
      <c r="F474" s="67"/>
      <c r="G474" s="67"/>
    </row>
    <row r="475" spans="1:7" ht="15.5" x14ac:dyDescent="0.35">
      <c r="A475" s="64"/>
      <c r="B475" s="64"/>
      <c r="C475" s="64"/>
      <c r="D475" s="64"/>
      <c r="E475" s="64"/>
      <c r="F475" s="64"/>
      <c r="G475" s="64"/>
    </row>
    <row r="476" spans="1:7" ht="15.5" x14ac:dyDescent="0.35">
      <c r="A476" s="67"/>
      <c r="B476" s="67"/>
      <c r="C476" s="67"/>
      <c r="D476" s="67"/>
      <c r="E476" s="67"/>
      <c r="F476" s="67"/>
      <c r="G476" s="67"/>
    </row>
    <row r="477" spans="1:7" ht="15.5" x14ac:dyDescent="0.35">
      <c r="A477" s="64"/>
      <c r="B477" s="64"/>
      <c r="C477" s="64"/>
      <c r="D477" s="64"/>
      <c r="E477" s="64"/>
      <c r="F477" s="64"/>
      <c r="G477" s="64"/>
    </row>
    <row r="478" spans="1:7" ht="15.5" x14ac:dyDescent="0.35">
      <c r="A478" s="67"/>
      <c r="B478" s="67"/>
      <c r="C478" s="67"/>
      <c r="D478" s="67"/>
      <c r="E478" s="67"/>
      <c r="F478" s="67"/>
      <c r="G478" s="67"/>
    </row>
    <row r="479" spans="1:7" ht="15.5" x14ac:dyDescent="0.35">
      <c r="A479" s="64"/>
      <c r="B479" s="64"/>
      <c r="C479" s="64"/>
      <c r="D479" s="64"/>
      <c r="E479" s="64"/>
      <c r="F479" s="64"/>
      <c r="G479" s="64"/>
    </row>
    <row r="480" spans="1:7" ht="15.5" x14ac:dyDescent="0.35">
      <c r="A480" s="67"/>
      <c r="B480" s="67"/>
      <c r="C480" s="67"/>
      <c r="D480" s="67"/>
      <c r="E480" s="67"/>
      <c r="F480" s="67"/>
      <c r="G480" s="67"/>
    </row>
    <row r="481" spans="1:7" ht="15.5" x14ac:dyDescent="0.35">
      <c r="A481" s="64"/>
      <c r="B481" s="64"/>
      <c r="C481" s="64"/>
      <c r="D481" s="64"/>
      <c r="E481" s="64"/>
      <c r="F481" s="64"/>
      <c r="G481" s="64"/>
    </row>
    <row r="482" spans="1:7" ht="15.5" x14ac:dyDescent="0.35">
      <c r="A482" s="67"/>
      <c r="B482" s="67"/>
      <c r="C482" s="67"/>
      <c r="D482" s="67"/>
      <c r="E482" s="67"/>
      <c r="F482" s="67"/>
      <c r="G482" s="67"/>
    </row>
    <row r="483" spans="1:7" ht="15.5" x14ac:dyDescent="0.35">
      <c r="A483" s="64"/>
      <c r="B483" s="64"/>
      <c r="C483" s="64"/>
      <c r="D483" s="64"/>
      <c r="E483" s="64"/>
      <c r="F483" s="64"/>
      <c r="G483" s="64"/>
    </row>
    <row r="484" spans="1:7" ht="15.5" x14ac:dyDescent="0.35">
      <c r="A484" s="67"/>
      <c r="B484" s="67"/>
      <c r="C484" s="67"/>
      <c r="D484" s="67"/>
      <c r="E484" s="67"/>
      <c r="F484" s="67"/>
      <c r="G484" s="67"/>
    </row>
    <row r="485" spans="1:7" ht="15.5" x14ac:dyDescent="0.35">
      <c r="A485" s="64"/>
      <c r="B485" s="64"/>
      <c r="C485" s="64"/>
      <c r="D485" s="64"/>
      <c r="E485" s="64"/>
      <c r="F485" s="64"/>
      <c r="G485" s="64"/>
    </row>
    <row r="486" spans="1:7" ht="15.5" x14ac:dyDescent="0.35">
      <c r="A486" s="67"/>
      <c r="B486" s="67"/>
      <c r="C486" s="67"/>
      <c r="D486" s="67"/>
      <c r="E486" s="67"/>
      <c r="F486" s="67"/>
      <c r="G486" s="67"/>
    </row>
    <row r="487" spans="1:7" ht="15.5" x14ac:dyDescent="0.35">
      <c r="A487" s="64"/>
      <c r="B487" s="64"/>
      <c r="C487" s="64"/>
      <c r="D487" s="64"/>
      <c r="E487" s="64"/>
      <c r="F487" s="64"/>
      <c r="G487" s="64"/>
    </row>
    <row r="488" spans="1:7" ht="15.5" x14ac:dyDescent="0.35">
      <c r="A488" s="67"/>
      <c r="B488" s="67"/>
      <c r="C488" s="67"/>
      <c r="D488" s="67"/>
      <c r="E488" s="67"/>
      <c r="F488" s="67"/>
      <c r="G488" s="67"/>
    </row>
    <row r="489" spans="1:7" ht="15.5" x14ac:dyDescent="0.35">
      <c r="A489" s="64"/>
      <c r="B489" s="64"/>
      <c r="C489" s="64"/>
      <c r="D489" s="64"/>
      <c r="E489" s="64"/>
      <c r="F489" s="64"/>
      <c r="G489" s="64"/>
    </row>
    <row r="490" spans="1:7" ht="15.5" x14ac:dyDescent="0.35">
      <c r="A490" s="67"/>
      <c r="B490" s="67"/>
      <c r="C490" s="67"/>
      <c r="D490" s="67"/>
      <c r="E490" s="67"/>
      <c r="F490" s="67"/>
      <c r="G490" s="67"/>
    </row>
    <row r="491" spans="1:7" ht="15.5" x14ac:dyDescent="0.35">
      <c r="A491" s="64"/>
      <c r="B491" s="64"/>
      <c r="C491" s="64"/>
      <c r="D491" s="64"/>
      <c r="E491" s="64"/>
      <c r="F491" s="64"/>
      <c r="G491" s="64"/>
    </row>
    <row r="492" spans="1:7" ht="15.5" x14ac:dyDescent="0.35">
      <c r="A492" s="67"/>
      <c r="B492" s="67"/>
      <c r="C492" s="67"/>
      <c r="D492" s="67"/>
      <c r="E492" s="67"/>
      <c r="F492" s="67"/>
      <c r="G492" s="67"/>
    </row>
    <row r="493" spans="1:7" ht="15.5" x14ac:dyDescent="0.35">
      <c r="A493" s="64"/>
      <c r="B493" s="64"/>
      <c r="C493" s="64"/>
      <c r="D493" s="64"/>
      <c r="E493" s="64"/>
      <c r="F493" s="64"/>
      <c r="G493" s="64"/>
    </row>
    <row r="494" spans="1:7" ht="15.5" x14ac:dyDescent="0.35">
      <c r="A494" s="67"/>
      <c r="B494" s="67"/>
      <c r="C494" s="67"/>
      <c r="D494" s="67"/>
      <c r="E494" s="67"/>
      <c r="F494" s="67"/>
      <c r="G494" s="67"/>
    </row>
    <row r="495" spans="1:7" ht="15.5" x14ac:dyDescent="0.35">
      <c r="A495" s="64"/>
      <c r="B495" s="64"/>
      <c r="C495" s="64"/>
      <c r="D495" s="64"/>
      <c r="E495" s="64"/>
      <c r="F495" s="64"/>
      <c r="G495" s="64"/>
    </row>
    <row r="496" spans="1:7" ht="15.5" x14ac:dyDescent="0.35">
      <c r="A496" s="67"/>
      <c r="B496" s="67"/>
      <c r="C496" s="67"/>
      <c r="D496" s="67"/>
      <c r="E496" s="67"/>
      <c r="F496" s="67"/>
      <c r="G496" s="67"/>
    </row>
    <row r="497" spans="1:7" ht="15.5" x14ac:dyDescent="0.35">
      <c r="A497" s="64"/>
      <c r="B497" s="64"/>
      <c r="C497" s="64"/>
      <c r="D497" s="64"/>
      <c r="E497" s="64"/>
      <c r="F497" s="64"/>
      <c r="G497" s="64"/>
    </row>
    <row r="498" spans="1:7" ht="15.5" x14ac:dyDescent="0.35">
      <c r="A498" s="67"/>
      <c r="B498" s="67"/>
      <c r="C498" s="67"/>
      <c r="D498" s="67"/>
      <c r="E498" s="67"/>
      <c r="F498" s="67"/>
      <c r="G498" s="67"/>
    </row>
    <row r="499" spans="1:7" ht="15.5" x14ac:dyDescent="0.35">
      <c r="A499" s="64"/>
      <c r="B499" s="64"/>
      <c r="C499" s="64"/>
      <c r="D499" s="64"/>
      <c r="E499" s="64"/>
      <c r="F499" s="64"/>
      <c r="G499" s="64"/>
    </row>
    <row r="500" spans="1:7" ht="15.5" x14ac:dyDescent="0.35">
      <c r="A500" s="67"/>
      <c r="B500" s="67"/>
      <c r="C500" s="67"/>
      <c r="D500" s="67"/>
      <c r="E500" s="67"/>
      <c r="F500" s="67"/>
      <c r="G500" s="67"/>
    </row>
    <row r="501" spans="1:7" ht="15.5" x14ac:dyDescent="0.35">
      <c r="A501" s="64"/>
      <c r="B501" s="64"/>
      <c r="C501" s="64"/>
      <c r="D501" s="64"/>
      <c r="E501" s="64"/>
      <c r="F501" s="64"/>
      <c r="G501" s="64"/>
    </row>
    <row r="502" spans="1:7" ht="15.5" x14ac:dyDescent="0.35">
      <c r="A502" s="67"/>
      <c r="B502" s="67"/>
      <c r="C502" s="67"/>
      <c r="D502" s="67"/>
      <c r="E502" s="67"/>
      <c r="F502" s="67"/>
      <c r="G502" s="67"/>
    </row>
    <row r="503" spans="1:7" ht="15.5" x14ac:dyDescent="0.35">
      <c r="A503" s="64"/>
      <c r="B503" s="64"/>
      <c r="C503" s="64"/>
      <c r="D503" s="64"/>
      <c r="E503" s="64"/>
      <c r="F503" s="64"/>
      <c r="G503" s="64"/>
    </row>
    <row r="504" spans="1:7" ht="15.5" x14ac:dyDescent="0.35">
      <c r="A504" s="67"/>
      <c r="B504" s="67"/>
      <c r="C504" s="67"/>
      <c r="D504" s="67"/>
      <c r="E504" s="67"/>
      <c r="F504" s="67"/>
      <c r="G504" s="67"/>
    </row>
    <row r="505" spans="1:7" ht="15.5" x14ac:dyDescent="0.35">
      <c r="A505" s="64"/>
      <c r="B505" s="64"/>
      <c r="C505" s="64"/>
      <c r="D505" s="64"/>
      <c r="E505" s="64"/>
      <c r="F505" s="64"/>
      <c r="G505" s="64"/>
    </row>
    <row r="506" spans="1:7" ht="15.5" x14ac:dyDescent="0.35">
      <c r="A506" s="67"/>
      <c r="B506" s="67"/>
      <c r="C506" s="67"/>
      <c r="D506" s="67"/>
      <c r="E506" s="67"/>
      <c r="F506" s="67"/>
      <c r="G506" s="67"/>
    </row>
    <row r="507" spans="1:7" ht="15.5" x14ac:dyDescent="0.35">
      <c r="A507" s="64"/>
      <c r="B507" s="64"/>
      <c r="C507" s="64"/>
      <c r="D507" s="64"/>
      <c r="E507" s="64"/>
      <c r="F507" s="64"/>
      <c r="G507" s="64"/>
    </row>
    <row r="508" spans="1:7" ht="15.5" x14ac:dyDescent="0.35">
      <c r="A508" s="67"/>
      <c r="B508" s="67"/>
      <c r="C508" s="67"/>
      <c r="D508" s="67"/>
      <c r="E508" s="67"/>
      <c r="F508" s="67"/>
      <c r="G508" s="67"/>
    </row>
    <row r="509" spans="1:7" ht="15.5" x14ac:dyDescent="0.35">
      <c r="A509" s="64"/>
      <c r="B509" s="64"/>
      <c r="C509" s="64"/>
      <c r="D509" s="64"/>
      <c r="E509" s="64"/>
      <c r="F509" s="64"/>
      <c r="G509" s="64"/>
    </row>
    <row r="510" spans="1:7" ht="15.5" x14ac:dyDescent="0.35">
      <c r="A510" s="67"/>
      <c r="B510" s="67"/>
      <c r="C510" s="67"/>
      <c r="D510" s="67"/>
      <c r="E510" s="67"/>
      <c r="F510" s="67"/>
      <c r="G510" s="67"/>
    </row>
    <row r="511" spans="1:7" ht="15.5" x14ac:dyDescent="0.35">
      <c r="A511" s="64"/>
      <c r="B511" s="64"/>
      <c r="C511" s="64"/>
      <c r="D511" s="64"/>
      <c r="E511" s="64"/>
      <c r="F511" s="64"/>
      <c r="G511" s="64"/>
    </row>
    <row r="512" spans="1:7" ht="15.5" x14ac:dyDescent="0.35">
      <c r="A512" s="67"/>
      <c r="B512" s="67"/>
      <c r="C512" s="67"/>
      <c r="D512" s="67"/>
      <c r="E512" s="67"/>
      <c r="F512" s="67"/>
      <c r="G512" s="67"/>
    </row>
    <row r="513" spans="1:7" ht="15.5" x14ac:dyDescent="0.35">
      <c r="A513" s="64"/>
      <c r="B513" s="64"/>
      <c r="C513" s="64"/>
      <c r="D513" s="64"/>
      <c r="E513" s="64"/>
      <c r="F513" s="64"/>
      <c r="G513" s="64"/>
    </row>
    <row r="514" spans="1:7" ht="15.5" x14ac:dyDescent="0.35">
      <c r="A514" s="67"/>
      <c r="B514" s="67"/>
      <c r="C514" s="67"/>
      <c r="D514" s="67"/>
      <c r="E514" s="67"/>
      <c r="F514" s="67"/>
      <c r="G514" s="67"/>
    </row>
    <row r="515" spans="1:7" ht="15.5" x14ac:dyDescent="0.35">
      <c r="A515" s="64"/>
      <c r="B515" s="64"/>
      <c r="C515" s="64"/>
      <c r="D515" s="64"/>
      <c r="E515" s="64"/>
      <c r="F515" s="64"/>
      <c r="G515" s="64"/>
    </row>
    <row r="516" spans="1:7" ht="15.5" x14ac:dyDescent="0.35">
      <c r="A516" s="67"/>
      <c r="B516" s="67"/>
      <c r="C516" s="67"/>
      <c r="D516" s="67"/>
      <c r="E516" s="67"/>
      <c r="F516" s="67"/>
      <c r="G516" s="67"/>
    </row>
    <row r="517" spans="1:7" ht="15.5" x14ac:dyDescent="0.35">
      <c r="A517" s="64"/>
      <c r="B517" s="64"/>
      <c r="C517" s="64"/>
      <c r="D517" s="64"/>
      <c r="E517" s="64"/>
      <c r="F517" s="64"/>
      <c r="G517" s="64"/>
    </row>
    <row r="518" spans="1:7" ht="15.5" x14ac:dyDescent="0.35">
      <c r="A518" s="67"/>
      <c r="B518" s="67"/>
      <c r="C518" s="67"/>
      <c r="D518" s="67"/>
      <c r="E518" s="67"/>
      <c r="F518" s="67"/>
      <c r="G518" s="67"/>
    </row>
    <row r="519" spans="1:7" ht="15.5" x14ac:dyDescent="0.35">
      <c r="A519" s="64"/>
      <c r="B519" s="64"/>
      <c r="C519" s="64"/>
      <c r="D519" s="64"/>
      <c r="E519" s="64"/>
      <c r="F519" s="64"/>
      <c r="G519" s="64"/>
    </row>
    <row r="520" spans="1:7" ht="15.5" x14ac:dyDescent="0.35">
      <c r="A520" s="67"/>
      <c r="B520" s="67"/>
      <c r="C520" s="67"/>
      <c r="D520" s="67"/>
      <c r="E520" s="67"/>
      <c r="F520" s="67"/>
      <c r="G520" s="67"/>
    </row>
    <row r="521" spans="1:7" ht="15.5" x14ac:dyDescent="0.35">
      <c r="A521" s="64"/>
      <c r="B521" s="64"/>
      <c r="C521" s="64"/>
      <c r="D521" s="64"/>
      <c r="E521" s="64"/>
      <c r="F521" s="64"/>
      <c r="G521" s="64"/>
    </row>
    <row r="522" spans="1:7" ht="15.5" x14ac:dyDescent="0.35">
      <c r="A522" s="67"/>
      <c r="B522" s="67"/>
      <c r="C522" s="67"/>
      <c r="D522" s="67"/>
      <c r="E522" s="67"/>
      <c r="F522" s="67"/>
      <c r="G522" s="67"/>
    </row>
    <row r="523" spans="1:7" ht="15.5" x14ac:dyDescent="0.35">
      <c r="A523" s="64"/>
      <c r="B523" s="64"/>
      <c r="C523" s="64"/>
      <c r="D523" s="64"/>
      <c r="E523" s="64"/>
      <c r="F523" s="64"/>
      <c r="G523" s="64"/>
    </row>
    <row r="524" spans="1:7" ht="15.5" x14ac:dyDescent="0.35">
      <c r="A524" s="67"/>
      <c r="B524" s="67"/>
      <c r="C524" s="67"/>
      <c r="D524" s="67"/>
      <c r="E524" s="67"/>
      <c r="F524" s="67"/>
      <c r="G524" s="67"/>
    </row>
    <row r="525" spans="1:7" ht="15.5" x14ac:dyDescent="0.35">
      <c r="A525" s="64"/>
      <c r="B525" s="64"/>
      <c r="C525" s="64"/>
      <c r="D525" s="64"/>
      <c r="E525" s="64"/>
      <c r="F525" s="64"/>
      <c r="G525" s="64"/>
    </row>
    <row r="526" spans="1:7" ht="15.5" x14ac:dyDescent="0.35">
      <c r="A526" s="67"/>
      <c r="B526" s="67"/>
      <c r="C526" s="67"/>
      <c r="D526" s="67"/>
      <c r="E526" s="67"/>
      <c r="F526" s="67"/>
      <c r="G526" s="67"/>
    </row>
    <row r="527" spans="1:7" ht="15.5" x14ac:dyDescent="0.35">
      <c r="A527" s="64"/>
      <c r="B527" s="64"/>
      <c r="C527" s="64"/>
      <c r="D527" s="64"/>
      <c r="E527" s="64"/>
      <c r="F527" s="64"/>
      <c r="G527" s="64"/>
    </row>
  </sheetData>
  <mergeCells count="1">
    <mergeCell ref="A1:G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HCaTS Instructions</vt:lpstr>
      <vt:lpstr>Unrestricted Pool 1</vt:lpstr>
      <vt:lpstr>Unrestricted Pool 2</vt:lpstr>
      <vt:lpstr>Small Business Pool 1</vt:lpstr>
      <vt:lpstr>Small Business Pool 2</vt:lpstr>
      <vt:lpstr>8(a) Pool 1</vt:lpstr>
      <vt:lpstr>8(a) Pool 2</vt:lpstr>
      <vt:lpstr>Inactive HCaTS Contracts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AlyssaMWong</cp:lastModifiedBy>
  <dcterms:modified xsi:type="dcterms:W3CDTF">2024-10-21T21:04:20Z</dcterms:modified>
</cp:coreProperties>
</file>